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https://uofnelincoln-my.sharepoint.com/personal/gmcclure3_unl_edu/Documents/Livestock budgets/Beef Systems - Cow Calf Budgets/SW Neb Cow-Calf/"/>
    </mc:Choice>
  </mc:AlternateContent>
  <xr:revisionPtr revIDLastSave="1" documentId="14_{253699CD-450D-4E28-92D7-96B65845AEBC}" xr6:coauthVersionLast="47" xr6:coauthVersionMax="47" xr10:uidLastSave="{B0B1A182-68CB-4FE0-9BF8-74007B3EDCC5}"/>
  <bookViews>
    <workbookView xWindow="-120" yWindow="-120" windowWidth="29040" windowHeight="15840" xr2:uid="{00000000-000D-0000-FFFF-FFFF00000000}"/>
  </bookViews>
  <sheets>
    <sheet name="Title Page" sheetId="8" r:id="rId1"/>
    <sheet name="Inputs" sheetId="1" r:id="rId2"/>
    <sheet name="Bulls" sheetId="6" r:id="rId3"/>
    <sheet name="Replacements" sheetId="7" r:id="rId4"/>
    <sheet name="Breeding Herd" sheetId="2" r:id="rId5"/>
    <sheet name="Pre-condition Calves" sheetId="3" r:id="rId6"/>
    <sheet name="Stocker" sheetId="9" r:id="rId7"/>
    <sheet name="Feedlot" sheetId="10" r:id="rId8"/>
    <sheet name="Fed Cull Cow" sheetId="11" r:id="rId9"/>
    <sheet name="System" sheetId="4" r:id="rId10"/>
  </sheets>
  <externalReferences>
    <externalReference r:id="rId11"/>
  </externalReferences>
  <definedNames>
    <definedName name="Feed">Inputs!$B$68:$H$77</definedName>
    <definedName name="HerdSize">Inputs!$G$3</definedName>
    <definedName name="Overhead">Inputs!$B$116:$H$121</definedName>
    <definedName name="_xlnm.Print_Area" localSheetId="4">'Breeding Herd'!$B$1:$J$90</definedName>
    <definedName name="_xlnm.Print_Area" localSheetId="2">Bulls!$B$1:$H$28</definedName>
    <definedName name="_xlnm.Print_Area" localSheetId="8">'Fed Cull Cow'!$B$1:$H$80</definedName>
    <definedName name="_xlnm.Print_Area" localSheetId="7">Feedlot!$B$1:$I$81</definedName>
    <definedName name="_xlnm.Print_Area" localSheetId="1">Inputs!$B$1:$I$121</definedName>
    <definedName name="_xlnm.Print_Area" localSheetId="5">'Pre-condition Calves'!$B$1:$I$81</definedName>
    <definedName name="_xlnm.Print_Area" localSheetId="3">Replacements!$B$1:$H$11</definedName>
    <definedName name="_xlnm.Print_Area" localSheetId="6">Stocker!$B$1:$I$81</definedName>
    <definedName name="_xlnm.Print_Area" localSheetId="9">System!$B$1:$G$104</definedName>
    <definedName name="_xlnm.Print_Area" localSheetId="0">'Title Page'!$A$1:$Q$45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91" i="1" l="1"/>
  <c r="Y90" i="1"/>
  <c r="X90" i="1"/>
  <c r="Z90" i="1" s="1"/>
  <c r="Y89" i="1"/>
  <c r="X89" i="1"/>
  <c r="Z89" i="1" s="1"/>
  <c r="Z88" i="1"/>
  <c r="Y88" i="1"/>
  <c r="X88" i="1"/>
  <c r="Y87" i="1"/>
  <c r="X87" i="1"/>
  <c r="Z87" i="1" s="1"/>
  <c r="Y86" i="1"/>
  <c r="X86" i="1"/>
  <c r="Z86" i="1" s="1"/>
  <c r="Y85" i="1"/>
  <c r="X85" i="1"/>
  <c r="Z85" i="1" s="1"/>
  <c r="Y84" i="1"/>
  <c r="X84" i="1"/>
  <c r="Z84" i="1" s="1"/>
  <c r="E28" i="3"/>
  <c r="D28" i="3"/>
  <c r="H28" i="3" s="1"/>
  <c r="D11" i="3"/>
  <c r="I28" i="3" l="1"/>
  <c r="Q99" i="1"/>
  <c r="O18" i="1"/>
  <c r="B54" i="4" l="1"/>
  <c r="B53" i="4"/>
  <c r="B52" i="4"/>
  <c r="B31" i="2"/>
  <c r="B32" i="2"/>
  <c r="B33" i="2"/>
  <c r="B34" i="2"/>
  <c r="B35" i="2"/>
  <c r="B36" i="2"/>
  <c r="B37" i="2"/>
  <c r="B38" i="2"/>
  <c r="D35" i="2"/>
  <c r="D36" i="2"/>
  <c r="D37" i="2"/>
  <c r="D38" i="2"/>
  <c r="C35" i="2"/>
  <c r="C36" i="2"/>
  <c r="F36" i="2" s="1"/>
  <c r="C37" i="2"/>
  <c r="F37" i="2" s="1"/>
  <c r="C38" i="2"/>
  <c r="F38" i="2" s="1"/>
  <c r="B29" i="2"/>
  <c r="B30" i="2"/>
  <c r="C29" i="2"/>
  <c r="C30" i="2"/>
  <c r="C34" i="2"/>
  <c r="D29" i="2"/>
  <c r="D30" i="2"/>
  <c r="D34" i="2"/>
  <c r="B49" i="4"/>
  <c r="B50" i="4"/>
  <c r="B51" i="4"/>
  <c r="B43" i="4"/>
  <c r="B44" i="4"/>
  <c r="B45" i="4"/>
  <c r="B46" i="4"/>
  <c r="B47" i="4"/>
  <c r="B48" i="4"/>
  <c r="U27" i="4"/>
  <c r="S27" i="4"/>
  <c r="E11" i="3" l="1"/>
  <c r="E12" i="9" l="1"/>
  <c r="E11" i="9"/>
  <c r="D15" i="6"/>
  <c r="D16" i="6"/>
  <c r="D17" i="6"/>
  <c r="D18" i="6"/>
  <c r="D19" i="6"/>
  <c r="D14" i="6"/>
  <c r="D19" i="2"/>
  <c r="D20" i="2"/>
  <c r="D21" i="2"/>
  <c r="D22" i="2"/>
  <c r="D23" i="2"/>
  <c r="D18" i="2"/>
  <c r="K82" i="1"/>
  <c r="K83" i="1"/>
  <c r="K91" i="1"/>
  <c r="K92" i="1"/>
  <c r="K93" i="1"/>
  <c r="K94" i="1"/>
  <c r="K95" i="1"/>
  <c r="K81" i="1"/>
  <c r="C33" i="2"/>
  <c r="H33" i="2" s="1"/>
  <c r="C12" i="4"/>
  <c r="B27" i="11"/>
  <c r="H17" i="11"/>
  <c r="H18" i="11"/>
  <c r="H19" i="11"/>
  <c r="H20" i="11"/>
  <c r="J17" i="11"/>
  <c r="J18" i="11"/>
  <c r="J19" i="11"/>
  <c r="J20" i="11"/>
  <c r="E10" i="11"/>
  <c r="D10" i="11"/>
  <c r="C10" i="11"/>
  <c r="E4" i="11"/>
  <c r="D4" i="11"/>
  <c r="E1" i="11"/>
  <c r="F45" i="2"/>
  <c r="P100" i="1"/>
  <c r="P101" i="1"/>
  <c r="P102" i="1"/>
  <c r="P103" i="1"/>
  <c r="P104" i="1"/>
  <c r="P105" i="1"/>
  <c r="P106" i="1"/>
  <c r="P107" i="1"/>
  <c r="P108" i="1"/>
  <c r="P99" i="1"/>
  <c r="R84" i="1"/>
  <c r="S84" i="1"/>
  <c r="U84" i="1"/>
  <c r="R85" i="1"/>
  <c r="S85" i="1"/>
  <c r="U86" i="1"/>
  <c r="Q87" i="1"/>
  <c r="S87" i="1"/>
  <c r="T87" i="1"/>
  <c r="R88" i="1"/>
  <c r="S88" i="1"/>
  <c r="T88" i="1"/>
  <c r="Q89" i="1"/>
  <c r="R89" i="1"/>
  <c r="S89" i="1"/>
  <c r="T89" i="1"/>
  <c r="U89" i="1"/>
  <c r="Q90" i="1"/>
  <c r="R90" i="1"/>
  <c r="S90" i="1"/>
  <c r="T90" i="1"/>
  <c r="U90" i="1"/>
  <c r="T91" i="1"/>
  <c r="Q92" i="1"/>
  <c r="F35" i="2" s="1"/>
  <c r="T92" i="1"/>
  <c r="F30" i="10" s="1"/>
  <c r="U92" i="1"/>
  <c r="F29" i="11" s="1"/>
  <c r="Q93" i="1"/>
  <c r="R93" i="1"/>
  <c r="S93" i="1"/>
  <c r="T93" i="1"/>
  <c r="F31" i="10" s="1"/>
  <c r="U93" i="1"/>
  <c r="F30" i="11" s="1"/>
  <c r="Q94" i="1"/>
  <c r="R94" i="1"/>
  <c r="F32" i="3" s="1"/>
  <c r="S94" i="1"/>
  <c r="F32" i="9" s="1"/>
  <c r="T94" i="1"/>
  <c r="F32" i="10" s="1"/>
  <c r="U94" i="1"/>
  <c r="F31" i="11" s="1"/>
  <c r="Q95" i="1"/>
  <c r="R95" i="1"/>
  <c r="S95" i="1"/>
  <c r="T95" i="1"/>
  <c r="F33" i="10" s="1"/>
  <c r="U95" i="1"/>
  <c r="F32" i="11" s="1"/>
  <c r="P82" i="1"/>
  <c r="P83" i="1"/>
  <c r="P84" i="1"/>
  <c r="T84" i="1" s="1"/>
  <c r="P85" i="1"/>
  <c r="Q85" i="1" s="1"/>
  <c r="P86" i="1"/>
  <c r="Q86" i="1" s="1"/>
  <c r="P87" i="1"/>
  <c r="U87" i="1" s="1"/>
  <c r="P88" i="1"/>
  <c r="Q88" i="1" s="1"/>
  <c r="P89" i="1"/>
  <c r="P90" i="1"/>
  <c r="P91" i="1"/>
  <c r="P92" i="1"/>
  <c r="R92" i="1" s="1"/>
  <c r="F30" i="3" s="1"/>
  <c r="P93" i="1"/>
  <c r="P94" i="1"/>
  <c r="P95" i="1"/>
  <c r="P81" i="1"/>
  <c r="O62" i="1"/>
  <c r="O63" i="1" s="1"/>
  <c r="O64" i="1" s="1"/>
  <c r="U74" i="1" s="1"/>
  <c r="O52" i="1"/>
  <c r="C10" i="4" s="1"/>
  <c r="E10" i="4" s="1"/>
  <c r="F62" i="1"/>
  <c r="E74" i="11"/>
  <c r="E73" i="11"/>
  <c r="D73" i="11"/>
  <c r="B73" i="11"/>
  <c r="E72" i="11"/>
  <c r="D72" i="11"/>
  <c r="B72" i="11"/>
  <c r="E71" i="11"/>
  <c r="D71" i="11"/>
  <c r="B71" i="11"/>
  <c r="E70" i="11"/>
  <c r="D70" i="11"/>
  <c r="B70" i="11"/>
  <c r="E69" i="11"/>
  <c r="D69" i="11"/>
  <c r="B69" i="11"/>
  <c r="E68" i="11"/>
  <c r="D68" i="11"/>
  <c r="B68" i="11"/>
  <c r="E67" i="11"/>
  <c r="D67" i="11"/>
  <c r="B67" i="11"/>
  <c r="E66" i="11"/>
  <c r="D66" i="11"/>
  <c r="B66" i="11"/>
  <c r="E65" i="11"/>
  <c r="D65" i="11"/>
  <c r="B65" i="11"/>
  <c r="D55" i="11"/>
  <c r="F55" i="11" s="1"/>
  <c r="B55" i="11"/>
  <c r="D54" i="11"/>
  <c r="F54" i="11" s="1"/>
  <c r="B54" i="11"/>
  <c r="D53" i="11"/>
  <c r="B53" i="11"/>
  <c r="D52" i="11"/>
  <c r="B52" i="11"/>
  <c r="D51" i="11"/>
  <c r="B51" i="11"/>
  <c r="D47" i="11"/>
  <c r="F47" i="11" s="1"/>
  <c r="B47" i="11"/>
  <c r="D46" i="11"/>
  <c r="F46" i="11" s="1"/>
  <c r="B46" i="11"/>
  <c r="D45" i="11"/>
  <c r="F45" i="11" s="1"/>
  <c r="B45" i="11"/>
  <c r="D44" i="11"/>
  <c r="F44" i="11" s="1"/>
  <c r="B44" i="11"/>
  <c r="D43" i="11"/>
  <c r="F43" i="11" s="1"/>
  <c r="B43" i="11"/>
  <c r="D42" i="11"/>
  <c r="B42" i="11"/>
  <c r="D41" i="11"/>
  <c r="B41" i="11"/>
  <c r="D40" i="11"/>
  <c r="B40" i="11"/>
  <c r="D39" i="11"/>
  <c r="B39" i="11"/>
  <c r="E32" i="11"/>
  <c r="D32" i="11"/>
  <c r="B32" i="11"/>
  <c r="E31" i="11"/>
  <c r="D31" i="11"/>
  <c r="B31" i="11"/>
  <c r="E30" i="11"/>
  <c r="D30" i="11"/>
  <c r="B30" i="11"/>
  <c r="E29" i="11"/>
  <c r="D29" i="11"/>
  <c r="B29" i="11"/>
  <c r="E28" i="11"/>
  <c r="D28" i="11"/>
  <c r="B28" i="11"/>
  <c r="E26" i="11"/>
  <c r="D26" i="11"/>
  <c r="B26" i="11"/>
  <c r="E25" i="11"/>
  <c r="D25" i="11"/>
  <c r="B25" i="11"/>
  <c r="E24" i="11"/>
  <c r="D24" i="11"/>
  <c r="B24" i="11"/>
  <c r="U22" i="11"/>
  <c r="U21" i="11"/>
  <c r="G20" i="11"/>
  <c r="F20" i="11"/>
  <c r="D20" i="11"/>
  <c r="U20" i="11"/>
  <c r="G19" i="11"/>
  <c r="F19" i="11"/>
  <c r="D19" i="11"/>
  <c r="U19" i="11"/>
  <c r="G18" i="11"/>
  <c r="F18" i="11"/>
  <c r="D18" i="11"/>
  <c r="U18" i="11"/>
  <c r="G17" i="11"/>
  <c r="F17" i="11"/>
  <c r="D17" i="11"/>
  <c r="U17" i="11"/>
  <c r="G16" i="11"/>
  <c r="D16" i="11"/>
  <c r="U16" i="11"/>
  <c r="G15" i="11"/>
  <c r="D15" i="11"/>
  <c r="U15" i="11"/>
  <c r="U14" i="11"/>
  <c r="U13" i="11"/>
  <c r="L7" i="11"/>
  <c r="L6" i="11"/>
  <c r="L5" i="11"/>
  <c r="L4" i="11"/>
  <c r="L3" i="11"/>
  <c r="L2" i="11"/>
  <c r="V1" i="11"/>
  <c r="U1" i="11"/>
  <c r="T1" i="11"/>
  <c r="S1" i="11"/>
  <c r="R1" i="11"/>
  <c r="Q1" i="11"/>
  <c r="Q4" i="11" s="1"/>
  <c r="P1" i="11"/>
  <c r="O1" i="11"/>
  <c r="N1" i="11"/>
  <c r="M1" i="11"/>
  <c r="O55" i="1"/>
  <c r="O56" i="1" s="1"/>
  <c r="O42" i="1"/>
  <c r="O43" i="1" s="1"/>
  <c r="F52" i="1" s="1"/>
  <c r="O32" i="1"/>
  <c r="O35" i="1" s="1"/>
  <c r="O36" i="1" s="1"/>
  <c r="D45" i="1" s="1"/>
  <c r="O13" i="1"/>
  <c r="O33" i="1"/>
  <c r="C4" i="3" s="1"/>
  <c r="O8" i="1"/>
  <c r="Q8" i="1" s="1"/>
  <c r="O10" i="1"/>
  <c r="O6" i="1"/>
  <c r="C5" i="2" s="1"/>
  <c r="D88" i="4"/>
  <c r="E88" i="4"/>
  <c r="D89" i="4"/>
  <c r="E89" i="4"/>
  <c r="D90" i="4"/>
  <c r="E90" i="4"/>
  <c r="D91" i="4"/>
  <c r="E91" i="4"/>
  <c r="D92" i="4"/>
  <c r="E92" i="4"/>
  <c r="D93" i="4"/>
  <c r="E93" i="4"/>
  <c r="D94" i="4"/>
  <c r="E94" i="4"/>
  <c r="D95" i="4"/>
  <c r="E95" i="4"/>
  <c r="E87" i="4"/>
  <c r="D87" i="4"/>
  <c r="D62" i="4"/>
  <c r="G62" i="4" s="1"/>
  <c r="D63" i="4"/>
  <c r="G63" i="4" s="1"/>
  <c r="D64" i="4"/>
  <c r="G64" i="4" s="1"/>
  <c r="D65" i="4"/>
  <c r="G65" i="4" s="1"/>
  <c r="D66" i="4"/>
  <c r="G66" i="4" s="1"/>
  <c r="D67" i="4"/>
  <c r="G67" i="4" s="1"/>
  <c r="D68" i="4"/>
  <c r="G68" i="4" s="1"/>
  <c r="D69" i="4"/>
  <c r="G69" i="4" s="1"/>
  <c r="D61" i="4"/>
  <c r="G61" i="4" s="1"/>
  <c r="B41" i="4"/>
  <c r="B42" i="4"/>
  <c r="L7" i="10"/>
  <c r="L6" i="10"/>
  <c r="L5" i="10"/>
  <c r="L4" i="10"/>
  <c r="L3" i="10"/>
  <c r="L2" i="10"/>
  <c r="V1" i="10"/>
  <c r="U1" i="10"/>
  <c r="T1" i="10"/>
  <c r="S1" i="10"/>
  <c r="R1" i="10"/>
  <c r="Q1" i="10"/>
  <c r="P1" i="10"/>
  <c r="O1" i="10"/>
  <c r="N1" i="10"/>
  <c r="M1" i="10"/>
  <c r="L7" i="9"/>
  <c r="L6" i="9"/>
  <c r="L5" i="9"/>
  <c r="L4" i="9"/>
  <c r="L3" i="9"/>
  <c r="L2" i="9"/>
  <c r="V1" i="9"/>
  <c r="U1" i="9"/>
  <c r="T1" i="9"/>
  <c r="S1" i="9"/>
  <c r="R1" i="9"/>
  <c r="Q1" i="9"/>
  <c r="P1" i="9"/>
  <c r="O1" i="9"/>
  <c r="N1" i="9"/>
  <c r="M1" i="9"/>
  <c r="L7" i="3"/>
  <c r="L6" i="3"/>
  <c r="L5" i="3"/>
  <c r="L4" i="3"/>
  <c r="L3" i="3"/>
  <c r="L2" i="3"/>
  <c r="L7" i="7"/>
  <c r="L6" i="7"/>
  <c r="L5" i="7"/>
  <c r="L4" i="7"/>
  <c r="L3" i="7"/>
  <c r="L2" i="7"/>
  <c r="L7" i="6"/>
  <c r="L6" i="6"/>
  <c r="L5" i="6"/>
  <c r="L4" i="6"/>
  <c r="L3" i="6"/>
  <c r="L2" i="6"/>
  <c r="V1" i="3"/>
  <c r="U1" i="3"/>
  <c r="T1" i="3"/>
  <c r="S1" i="3"/>
  <c r="R1" i="3"/>
  <c r="Q1" i="3"/>
  <c r="P1" i="3"/>
  <c r="O1" i="3"/>
  <c r="N1" i="3"/>
  <c r="M1" i="3"/>
  <c r="V1" i="7"/>
  <c r="U1" i="7"/>
  <c r="T1" i="7"/>
  <c r="S1" i="7"/>
  <c r="R1" i="7"/>
  <c r="Q1" i="7"/>
  <c r="P1" i="7"/>
  <c r="O1" i="7"/>
  <c r="N1" i="7"/>
  <c r="M1" i="7"/>
  <c r="V1" i="6"/>
  <c r="U1" i="6"/>
  <c r="T1" i="6"/>
  <c r="S1" i="6"/>
  <c r="R1" i="6"/>
  <c r="Q1" i="6"/>
  <c r="P1" i="6"/>
  <c r="O1" i="6"/>
  <c r="N1" i="6"/>
  <c r="M1" i="6"/>
  <c r="N1" i="2"/>
  <c r="M1" i="2"/>
  <c r="L3" i="2"/>
  <c r="L4" i="2"/>
  <c r="L5" i="2"/>
  <c r="L6" i="2"/>
  <c r="L7" i="2"/>
  <c r="L2" i="2"/>
  <c r="L19" i="2"/>
  <c r="L20" i="2"/>
  <c r="L21" i="2"/>
  <c r="L22" i="2"/>
  <c r="L23" i="2"/>
  <c r="D46" i="2"/>
  <c r="D47" i="2"/>
  <c r="D48" i="2"/>
  <c r="D49" i="2"/>
  <c r="D50" i="2"/>
  <c r="F50" i="2" s="1"/>
  <c r="D51" i="2"/>
  <c r="F51" i="2" s="1"/>
  <c r="D52" i="2"/>
  <c r="F52" i="2" s="1"/>
  <c r="D53" i="2"/>
  <c r="F53" i="2" s="1"/>
  <c r="D45" i="2"/>
  <c r="O1" i="2"/>
  <c r="P1" i="2"/>
  <c r="Q1" i="2"/>
  <c r="R1" i="2"/>
  <c r="S1" i="2"/>
  <c r="T1" i="2"/>
  <c r="U1" i="2"/>
  <c r="V1" i="2"/>
  <c r="K21" i="10"/>
  <c r="K20" i="10"/>
  <c r="K21" i="9"/>
  <c r="K20" i="9"/>
  <c r="K19" i="9"/>
  <c r="K18" i="9"/>
  <c r="K21" i="3"/>
  <c r="K20" i="3"/>
  <c r="D6" i="7"/>
  <c r="D7" i="7"/>
  <c r="D8" i="7"/>
  <c r="D9" i="7"/>
  <c r="D10" i="7"/>
  <c r="D5" i="7"/>
  <c r="J10" i="7"/>
  <c r="J16" i="6"/>
  <c r="J17" i="6"/>
  <c r="J18" i="6"/>
  <c r="J19" i="6"/>
  <c r="J14" i="6"/>
  <c r="J15" i="6"/>
  <c r="L18" i="2"/>
  <c r="C4" i="4"/>
  <c r="F4" i="4" s="1"/>
  <c r="B28" i="10"/>
  <c r="E1" i="10"/>
  <c r="E12" i="10"/>
  <c r="E11" i="10"/>
  <c r="D12" i="10"/>
  <c r="D11" i="10"/>
  <c r="C12" i="10"/>
  <c r="C11" i="10"/>
  <c r="E5" i="10"/>
  <c r="D5" i="10"/>
  <c r="E4" i="10"/>
  <c r="D4" i="10"/>
  <c r="E75" i="10"/>
  <c r="E74" i="10"/>
  <c r="D74" i="10"/>
  <c r="B74" i="10"/>
  <c r="E73" i="10"/>
  <c r="D73" i="10"/>
  <c r="B73" i="10"/>
  <c r="E72" i="10"/>
  <c r="D72" i="10"/>
  <c r="B72" i="10"/>
  <c r="E71" i="10"/>
  <c r="D71" i="10"/>
  <c r="B71" i="10"/>
  <c r="E70" i="10"/>
  <c r="D70" i="10"/>
  <c r="B70" i="10"/>
  <c r="E69" i="10"/>
  <c r="D69" i="10"/>
  <c r="B69" i="10"/>
  <c r="E68" i="10"/>
  <c r="D68" i="10"/>
  <c r="B68" i="10"/>
  <c r="E67" i="10"/>
  <c r="D67" i="10"/>
  <c r="B67" i="10"/>
  <c r="E66" i="10"/>
  <c r="D66" i="10"/>
  <c r="B66" i="10"/>
  <c r="I59" i="10"/>
  <c r="D56" i="10"/>
  <c r="F56" i="10" s="1"/>
  <c r="B56" i="10"/>
  <c r="D55" i="10"/>
  <c r="F55" i="10" s="1"/>
  <c r="B55" i="10"/>
  <c r="D54" i="10"/>
  <c r="B54" i="10"/>
  <c r="D53" i="10"/>
  <c r="B53" i="10"/>
  <c r="D52" i="10"/>
  <c r="B52" i="10"/>
  <c r="I50" i="10"/>
  <c r="D48" i="10"/>
  <c r="F48" i="10" s="1"/>
  <c r="B48" i="10"/>
  <c r="D47" i="10"/>
  <c r="F47" i="10" s="1"/>
  <c r="B47" i="10"/>
  <c r="D46" i="10"/>
  <c r="F46" i="10" s="1"/>
  <c r="B46" i="10"/>
  <c r="D45" i="10"/>
  <c r="F45" i="10" s="1"/>
  <c r="B45" i="10"/>
  <c r="D44" i="10"/>
  <c r="F44" i="10" s="1"/>
  <c r="B44" i="10"/>
  <c r="D43" i="10"/>
  <c r="B43" i="10"/>
  <c r="D42" i="10"/>
  <c r="B42" i="10"/>
  <c r="D41" i="10"/>
  <c r="B41" i="10"/>
  <c r="D40" i="10"/>
  <c r="B40" i="10"/>
  <c r="I37" i="10"/>
  <c r="E33" i="10"/>
  <c r="D33" i="10"/>
  <c r="B33" i="10"/>
  <c r="E32" i="10"/>
  <c r="D32" i="10"/>
  <c r="B32" i="10"/>
  <c r="E31" i="10"/>
  <c r="D31" i="10"/>
  <c r="B31" i="10"/>
  <c r="E30" i="10"/>
  <c r="D30" i="10"/>
  <c r="B30" i="10"/>
  <c r="E29" i="10"/>
  <c r="D29" i="10"/>
  <c r="B29" i="10"/>
  <c r="E27" i="10"/>
  <c r="D27" i="10"/>
  <c r="B27" i="10"/>
  <c r="E26" i="10"/>
  <c r="D26" i="10"/>
  <c r="B26" i="10"/>
  <c r="E25" i="10"/>
  <c r="D25" i="10"/>
  <c r="B25" i="10"/>
  <c r="I23" i="10"/>
  <c r="U22" i="10"/>
  <c r="U21" i="10"/>
  <c r="I21" i="10"/>
  <c r="H21" i="10"/>
  <c r="G21" i="10"/>
  <c r="F21" i="10"/>
  <c r="D21" i="10"/>
  <c r="U20" i="10"/>
  <c r="I20" i="10"/>
  <c r="H20" i="10"/>
  <c r="G20" i="10"/>
  <c r="F20" i="10"/>
  <c r="D20" i="10"/>
  <c r="U19" i="10"/>
  <c r="G19" i="10"/>
  <c r="D19" i="10"/>
  <c r="U18" i="10"/>
  <c r="G18" i="10"/>
  <c r="D18" i="10"/>
  <c r="U17" i="10"/>
  <c r="G17" i="10"/>
  <c r="D17" i="10"/>
  <c r="U16" i="10"/>
  <c r="G16" i="10"/>
  <c r="D16" i="10"/>
  <c r="U15" i="10"/>
  <c r="U14" i="10"/>
  <c r="U13" i="10"/>
  <c r="I8" i="10"/>
  <c r="B28" i="9"/>
  <c r="D12" i="9"/>
  <c r="D11" i="9"/>
  <c r="C12" i="9"/>
  <c r="C11" i="9"/>
  <c r="C11" i="3"/>
  <c r="E5" i="9"/>
  <c r="D5" i="9"/>
  <c r="E4" i="9"/>
  <c r="D4" i="9"/>
  <c r="E1" i="9"/>
  <c r="E75" i="9"/>
  <c r="E74" i="9"/>
  <c r="D74" i="9"/>
  <c r="B74" i="9"/>
  <c r="E73" i="9"/>
  <c r="D73" i="9"/>
  <c r="B73" i="9"/>
  <c r="E72" i="9"/>
  <c r="D72" i="9"/>
  <c r="B72" i="9"/>
  <c r="E71" i="9"/>
  <c r="D71" i="9"/>
  <c r="B71" i="9"/>
  <c r="E70" i="9"/>
  <c r="D70" i="9"/>
  <c r="B70" i="9"/>
  <c r="E69" i="9"/>
  <c r="D69" i="9"/>
  <c r="B69" i="9"/>
  <c r="E68" i="9"/>
  <c r="D68" i="9"/>
  <c r="B68" i="9"/>
  <c r="E67" i="9"/>
  <c r="D67" i="9"/>
  <c r="B67" i="9"/>
  <c r="E66" i="9"/>
  <c r="D66" i="9"/>
  <c r="B66" i="9"/>
  <c r="I59" i="9"/>
  <c r="D56" i="9"/>
  <c r="F56" i="9" s="1"/>
  <c r="B56" i="9"/>
  <c r="D55" i="9"/>
  <c r="F55" i="9" s="1"/>
  <c r="B55" i="9"/>
  <c r="D54" i="9"/>
  <c r="B54" i="9"/>
  <c r="D53" i="9"/>
  <c r="B53" i="9"/>
  <c r="D52" i="9"/>
  <c r="B52" i="9"/>
  <c r="I50" i="9"/>
  <c r="D48" i="9"/>
  <c r="F48" i="9" s="1"/>
  <c r="B48" i="9"/>
  <c r="D47" i="9"/>
  <c r="F47" i="9" s="1"/>
  <c r="B47" i="9"/>
  <c r="D46" i="9"/>
  <c r="F46" i="9" s="1"/>
  <c r="B46" i="9"/>
  <c r="D45" i="9"/>
  <c r="F45" i="9" s="1"/>
  <c r="B45" i="9"/>
  <c r="D44" i="9"/>
  <c r="F44" i="9" s="1"/>
  <c r="B44" i="9"/>
  <c r="D43" i="9"/>
  <c r="B43" i="9"/>
  <c r="D42" i="9"/>
  <c r="B42" i="9"/>
  <c r="D41" i="9"/>
  <c r="B41" i="9"/>
  <c r="D40" i="9"/>
  <c r="B40" i="9"/>
  <c r="I37" i="9"/>
  <c r="E33" i="9"/>
  <c r="D33" i="9"/>
  <c r="B33" i="9"/>
  <c r="E32" i="9"/>
  <c r="D32" i="9"/>
  <c r="B32" i="9"/>
  <c r="E31" i="9"/>
  <c r="D31" i="9"/>
  <c r="B31" i="9"/>
  <c r="E30" i="9"/>
  <c r="D30" i="9"/>
  <c r="B30" i="9"/>
  <c r="E29" i="9"/>
  <c r="D29" i="9"/>
  <c r="B29" i="9"/>
  <c r="E27" i="9"/>
  <c r="D27" i="9"/>
  <c r="B27" i="9"/>
  <c r="E26" i="9"/>
  <c r="D26" i="9"/>
  <c r="B26" i="9"/>
  <c r="E25" i="9"/>
  <c r="D25" i="9"/>
  <c r="B25" i="9"/>
  <c r="I23" i="9"/>
  <c r="U22" i="9"/>
  <c r="U21" i="9"/>
  <c r="I21" i="9"/>
  <c r="H21" i="9"/>
  <c r="G21" i="9"/>
  <c r="F21" i="9"/>
  <c r="D21" i="9"/>
  <c r="U20" i="9"/>
  <c r="G20" i="9"/>
  <c r="F20" i="9"/>
  <c r="H20" i="9" s="1"/>
  <c r="D20" i="9"/>
  <c r="U19" i="9"/>
  <c r="G19" i="9"/>
  <c r="F19" i="9"/>
  <c r="H19" i="9" s="1"/>
  <c r="D19" i="9"/>
  <c r="U18" i="9"/>
  <c r="G18" i="9"/>
  <c r="F18" i="9"/>
  <c r="H18" i="9" s="1"/>
  <c r="D18" i="9"/>
  <c r="U17" i="9"/>
  <c r="G17" i="9"/>
  <c r="D17" i="9"/>
  <c r="U16" i="9"/>
  <c r="G16" i="9"/>
  <c r="D16" i="9"/>
  <c r="U15" i="9"/>
  <c r="U14" i="9"/>
  <c r="U13" i="9"/>
  <c r="I8" i="9"/>
  <c r="I20" i="9"/>
  <c r="I21" i="3"/>
  <c r="E67" i="3"/>
  <c r="E68" i="3"/>
  <c r="E69" i="3"/>
  <c r="E70" i="3"/>
  <c r="E71" i="3"/>
  <c r="E72" i="3"/>
  <c r="E73" i="3"/>
  <c r="E74" i="3"/>
  <c r="E66" i="3"/>
  <c r="D67" i="3"/>
  <c r="D68" i="3"/>
  <c r="D69" i="3"/>
  <c r="D70" i="3"/>
  <c r="D71" i="3"/>
  <c r="D72" i="3"/>
  <c r="D73" i="3"/>
  <c r="D74" i="3"/>
  <c r="D66" i="3"/>
  <c r="B67" i="3"/>
  <c r="B68" i="3"/>
  <c r="B69" i="3"/>
  <c r="B70" i="3"/>
  <c r="B71" i="3"/>
  <c r="B72" i="3"/>
  <c r="B73" i="3"/>
  <c r="B74" i="3"/>
  <c r="B66" i="3"/>
  <c r="D53" i="3"/>
  <c r="D54" i="3"/>
  <c r="D55" i="3"/>
  <c r="F55" i="3" s="1"/>
  <c r="D56" i="3"/>
  <c r="F56" i="3" s="1"/>
  <c r="D52" i="3"/>
  <c r="D41" i="3"/>
  <c r="D42" i="3"/>
  <c r="D43" i="3"/>
  <c r="D44" i="3"/>
  <c r="F44" i="3" s="1"/>
  <c r="D45" i="3"/>
  <c r="F45" i="3" s="1"/>
  <c r="D46" i="3"/>
  <c r="F46" i="3" s="1"/>
  <c r="D47" i="3"/>
  <c r="F47" i="3" s="1"/>
  <c r="D48" i="3"/>
  <c r="F48" i="3" s="1"/>
  <c r="D40" i="3"/>
  <c r="B42" i="3"/>
  <c r="B43" i="3"/>
  <c r="B44" i="3"/>
  <c r="B45" i="3"/>
  <c r="B46" i="3"/>
  <c r="B47" i="3"/>
  <c r="B48" i="3"/>
  <c r="B41" i="3"/>
  <c r="B40" i="3"/>
  <c r="D30" i="3"/>
  <c r="D31" i="3"/>
  <c r="D32" i="3"/>
  <c r="D33" i="3"/>
  <c r="D29" i="3"/>
  <c r="E30" i="3"/>
  <c r="E31" i="3"/>
  <c r="E32" i="3"/>
  <c r="E33" i="3"/>
  <c r="E29" i="3"/>
  <c r="E26" i="3"/>
  <c r="E27" i="3"/>
  <c r="E25" i="3"/>
  <c r="D26" i="3"/>
  <c r="D27" i="3"/>
  <c r="D25" i="3"/>
  <c r="B30" i="3"/>
  <c r="B31" i="3"/>
  <c r="B32" i="3"/>
  <c r="B33" i="3"/>
  <c r="B29" i="3"/>
  <c r="B26" i="3"/>
  <c r="B27" i="3"/>
  <c r="B25" i="3"/>
  <c r="H21" i="3"/>
  <c r="G17" i="3"/>
  <c r="G18" i="3"/>
  <c r="G19" i="3"/>
  <c r="G20" i="3"/>
  <c r="G21" i="3"/>
  <c r="G16" i="3"/>
  <c r="F21" i="3"/>
  <c r="D17" i="3"/>
  <c r="D18" i="3"/>
  <c r="D19" i="3"/>
  <c r="D20" i="3"/>
  <c r="D21" i="3"/>
  <c r="D16" i="3"/>
  <c r="U14" i="3"/>
  <c r="U15" i="3"/>
  <c r="U16" i="3"/>
  <c r="U17" i="3"/>
  <c r="U18" i="3"/>
  <c r="U19" i="3"/>
  <c r="U20" i="3"/>
  <c r="U21" i="3"/>
  <c r="U22" i="3"/>
  <c r="E5" i="3"/>
  <c r="D5" i="3"/>
  <c r="E4" i="3"/>
  <c r="D4" i="3"/>
  <c r="E72" i="2"/>
  <c r="E73" i="2"/>
  <c r="E74" i="2"/>
  <c r="E75" i="2"/>
  <c r="E76" i="2"/>
  <c r="E77" i="2"/>
  <c r="E78" i="2"/>
  <c r="E79" i="2"/>
  <c r="E80" i="2"/>
  <c r="D72" i="2"/>
  <c r="D73" i="2"/>
  <c r="D74" i="2"/>
  <c r="D75" i="2"/>
  <c r="D76" i="2"/>
  <c r="D77" i="2"/>
  <c r="D78" i="2"/>
  <c r="D79" i="2"/>
  <c r="D80" i="2"/>
  <c r="E71" i="2"/>
  <c r="D71" i="2"/>
  <c r="B72" i="2"/>
  <c r="B73" i="2"/>
  <c r="B74" i="2"/>
  <c r="B75" i="2"/>
  <c r="B76" i="2"/>
  <c r="F76" i="2" s="1"/>
  <c r="B77" i="2"/>
  <c r="F77" i="2" s="1"/>
  <c r="B78" i="2"/>
  <c r="F78" i="2" s="1"/>
  <c r="B79" i="2"/>
  <c r="F79" i="2" s="1"/>
  <c r="B80" i="2"/>
  <c r="F80" i="2" s="1"/>
  <c r="B71" i="2"/>
  <c r="M108" i="1"/>
  <c r="B46" i="2"/>
  <c r="B47" i="2"/>
  <c r="B48" i="2"/>
  <c r="B49" i="2"/>
  <c r="B52" i="2"/>
  <c r="B53" i="2"/>
  <c r="B45" i="2"/>
  <c r="H36" i="2"/>
  <c r="H37" i="2"/>
  <c r="H18" i="6"/>
  <c r="H19" i="6"/>
  <c r="F18" i="6"/>
  <c r="F19" i="6"/>
  <c r="E23" i="6"/>
  <c r="O23" i="1"/>
  <c r="O21" i="1"/>
  <c r="P117" i="1"/>
  <c r="P118" i="1"/>
  <c r="P119" i="1"/>
  <c r="P120" i="1"/>
  <c r="P121" i="1"/>
  <c r="P116" i="1"/>
  <c r="M100" i="1"/>
  <c r="M101" i="1"/>
  <c r="M102" i="1"/>
  <c r="M103" i="1"/>
  <c r="M104" i="1"/>
  <c r="M105" i="1"/>
  <c r="M106" i="1"/>
  <c r="M107" i="1"/>
  <c r="M99" i="1"/>
  <c r="O15" i="1"/>
  <c r="D83" i="2"/>
  <c r="B28" i="2"/>
  <c r="D28" i="2"/>
  <c r="C28" i="2"/>
  <c r="U13" i="3"/>
  <c r="B40" i="4"/>
  <c r="U85" i="1" l="1"/>
  <c r="U88" i="1"/>
  <c r="R87" i="1"/>
  <c r="T85" i="1"/>
  <c r="Q84" i="1"/>
  <c r="V84" i="1" s="1"/>
  <c r="T86" i="1"/>
  <c r="S86" i="1"/>
  <c r="R86" i="1"/>
  <c r="V86" i="1" s="1"/>
  <c r="R7" i="9"/>
  <c r="R7" i="10"/>
  <c r="M4" i="11"/>
  <c r="U4" i="11"/>
  <c r="S3" i="6"/>
  <c r="S7" i="9"/>
  <c r="S7" i="10"/>
  <c r="Q5" i="2"/>
  <c r="S3" i="3"/>
  <c r="Q7" i="9"/>
  <c r="Q7" i="10"/>
  <c r="U3" i="3"/>
  <c r="C8" i="4"/>
  <c r="E8" i="4" s="1"/>
  <c r="S5" i="2"/>
  <c r="O5" i="2"/>
  <c r="S4" i="11"/>
  <c r="O4" i="11"/>
  <c r="C6" i="4"/>
  <c r="E6" i="4" s="1"/>
  <c r="S92" i="1"/>
  <c r="F30" i="9" s="1"/>
  <c r="H30" i="9" s="1"/>
  <c r="Q3" i="3"/>
  <c r="U5" i="2"/>
  <c r="P2" i="7"/>
  <c r="R2" i="7"/>
  <c r="T2" i="7"/>
  <c r="R7" i="11"/>
  <c r="T7" i="11"/>
  <c r="V7" i="11"/>
  <c r="N7" i="11"/>
  <c r="P7" i="11"/>
  <c r="O7" i="10"/>
  <c r="T7" i="10"/>
  <c r="P7" i="10"/>
  <c r="M7" i="10"/>
  <c r="U7" i="10"/>
  <c r="N7" i="10"/>
  <c r="V7" i="10"/>
  <c r="M7" i="9"/>
  <c r="P7" i="9"/>
  <c r="T7" i="9"/>
  <c r="U7" i="9"/>
  <c r="N7" i="9"/>
  <c r="V7" i="9"/>
  <c r="O7" i="9"/>
  <c r="T3" i="2"/>
  <c r="R3" i="2"/>
  <c r="V3" i="2"/>
  <c r="P3" i="2"/>
  <c r="Q3" i="7"/>
  <c r="S3" i="7"/>
  <c r="U3" i="7"/>
  <c r="Q3" i="6"/>
  <c r="U3" i="6"/>
  <c r="H11" i="10"/>
  <c r="H12" i="10"/>
  <c r="H12" i="9"/>
  <c r="H23" i="6"/>
  <c r="G44" i="4" s="1"/>
  <c r="D23" i="6"/>
  <c r="H32" i="2"/>
  <c r="C32" i="2"/>
  <c r="C31" i="2"/>
  <c r="H31" i="2" s="1"/>
  <c r="D27" i="11"/>
  <c r="F32" i="1"/>
  <c r="P2" i="3"/>
  <c r="R2" i="3"/>
  <c r="T2" i="3"/>
  <c r="V2" i="3"/>
  <c r="V2" i="7"/>
  <c r="P2" i="6"/>
  <c r="R2" i="6"/>
  <c r="T2" i="6"/>
  <c r="V2" i="6"/>
  <c r="N3" i="2"/>
  <c r="M3" i="2"/>
  <c r="M3" i="6"/>
  <c r="V88" i="1"/>
  <c r="V90" i="1"/>
  <c r="V94" i="1"/>
  <c r="F69" i="11"/>
  <c r="F71" i="11"/>
  <c r="H71" i="11" s="1"/>
  <c r="F73" i="11"/>
  <c r="O57" i="1"/>
  <c r="T74" i="1" s="1"/>
  <c r="C4" i="11"/>
  <c r="J15" i="11" s="1"/>
  <c r="R2" i="11" s="1"/>
  <c r="C13" i="4"/>
  <c r="F13" i="4" s="1"/>
  <c r="F70" i="11"/>
  <c r="F72" i="11"/>
  <c r="H72" i="11" s="1"/>
  <c r="V95" i="1"/>
  <c r="V93" i="1"/>
  <c r="V89" i="1"/>
  <c r="V87" i="1"/>
  <c r="V85" i="1"/>
  <c r="H47" i="11"/>
  <c r="O53" i="1"/>
  <c r="Q2" i="11"/>
  <c r="H43" i="11"/>
  <c r="O2" i="11"/>
  <c r="S2" i="11"/>
  <c r="M3" i="11"/>
  <c r="Q3" i="11"/>
  <c r="U3" i="11"/>
  <c r="H10" i="11"/>
  <c r="H12" i="11" s="1"/>
  <c r="M2" i="11"/>
  <c r="O3" i="11"/>
  <c r="H45" i="11"/>
  <c r="N4" i="11"/>
  <c r="P4" i="11"/>
  <c r="R4" i="11"/>
  <c r="T4" i="11"/>
  <c r="V4" i="11"/>
  <c r="M5" i="11"/>
  <c r="O5" i="11"/>
  <c r="Q5" i="11"/>
  <c r="S5" i="11"/>
  <c r="U5" i="11"/>
  <c r="M6" i="11"/>
  <c r="O6" i="11"/>
  <c r="Q6" i="11"/>
  <c r="S6" i="11"/>
  <c r="U6" i="11"/>
  <c r="M7" i="11"/>
  <c r="O7" i="11"/>
  <c r="Q7" i="11"/>
  <c r="S7" i="11"/>
  <c r="U7" i="11"/>
  <c r="U2" i="11"/>
  <c r="H29" i="11"/>
  <c r="H30" i="11"/>
  <c r="H31" i="11"/>
  <c r="H32" i="11"/>
  <c r="H44" i="11"/>
  <c r="H46" i="11"/>
  <c r="N2" i="11"/>
  <c r="P2" i="11"/>
  <c r="T2" i="11"/>
  <c r="V2" i="11"/>
  <c r="N3" i="11"/>
  <c r="P3" i="11"/>
  <c r="R3" i="11"/>
  <c r="T3" i="11"/>
  <c r="V3" i="11"/>
  <c r="N5" i="11"/>
  <c r="P5" i="11"/>
  <c r="R5" i="11"/>
  <c r="T5" i="11"/>
  <c r="V5" i="11"/>
  <c r="N6" i="11"/>
  <c r="P6" i="11"/>
  <c r="R6" i="11"/>
  <c r="T6" i="11"/>
  <c r="V6" i="11"/>
  <c r="F42" i="1"/>
  <c r="N5" i="2"/>
  <c r="O45" i="1"/>
  <c r="O46" i="1" s="1"/>
  <c r="F23" i="1"/>
  <c r="C11" i="4"/>
  <c r="F11" i="4" s="1"/>
  <c r="C5" i="3"/>
  <c r="I70" i="3" s="1"/>
  <c r="F71" i="9"/>
  <c r="F73" i="9"/>
  <c r="H73" i="9" s="1"/>
  <c r="F70" i="10"/>
  <c r="N7" i="2"/>
  <c r="M4" i="2"/>
  <c r="I4" i="10"/>
  <c r="I4" i="9"/>
  <c r="H11" i="9"/>
  <c r="F74" i="10"/>
  <c r="C4" i="10"/>
  <c r="C5" i="10"/>
  <c r="H5" i="10" s="1"/>
  <c r="C4" i="9"/>
  <c r="H4" i="9" s="1"/>
  <c r="V2" i="9"/>
  <c r="C7" i="4"/>
  <c r="E7" i="4" s="1"/>
  <c r="O3" i="6"/>
  <c r="M6" i="2"/>
  <c r="N2" i="6"/>
  <c r="U7" i="2"/>
  <c r="S7" i="2"/>
  <c r="Q7" i="2"/>
  <c r="O7" i="2"/>
  <c r="V6" i="2"/>
  <c r="T6" i="2"/>
  <c r="R6" i="2"/>
  <c r="P6" i="2"/>
  <c r="V5" i="2"/>
  <c r="T5" i="2"/>
  <c r="R5" i="2"/>
  <c r="P5" i="2"/>
  <c r="U4" i="2"/>
  <c r="S4" i="2"/>
  <c r="Q4" i="2"/>
  <c r="O4" i="2"/>
  <c r="U3" i="2"/>
  <c r="S3" i="2"/>
  <c r="Q3" i="2"/>
  <c r="O3" i="2"/>
  <c r="M2" i="6"/>
  <c r="M6" i="6"/>
  <c r="M4" i="6"/>
  <c r="V7" i="6"/>
  <c r="T7" i="6"/>
  <c r="R7" i="6"/>
  <c r="P7" i="6"/>
  <c r="N7" i="6"/>
  <c r="U6" i="6"/>
  <c r="S6" i="6"/>
  <c r="Q6" i="6"/>
  <c r="O6" i="6"/>
  <c r="V5" i="6"/>
  <c r="T5" i="6"/>
  <c r="R5" i="6"/>
  <c r="P5" i="6"/>
  <c r="N5" i="6"/>
  <c r="U4" i="6"/>
  <c r="S4" i="6"/>
  <c r="Q4" i="6"/>
  <c r="O4" i="6"/>
  <c r="V3" i="6"/>
  <c r="T3" i="6"/>
  <c r="R3" i="6"/>
  <c r="P3" i="6"/>
  <c r="N3" i="6"/>
  <c r="U2" i="6"/>
  <c r="S2" i="6"/>
  <c r="Q2" i="6"/>
  <c r="O2" i="6"/>
  <c r="M6" i="7"/>
  <c r="M4" i="7"/>
  <c r="V7" i="7"/>
  <c r="T7" i="7"/>
  <c r="R7" i="7"/>
  <c r="P7" i="7"/>
  <c r="N7" i="7"/>
  <c r="Q6" i="7"/>
  <c r="O6" i="7"/>
  <c r="V5" i="7"/>
  <c r="N5" i="7"/>
  <c r="U4" i="7"/>
  <c r="S4" i="7"/>
  <c r="Q4" i="7"/>
  <c r="T3" i="7"/>
  <c r="R3" i="7"/>
  <c r="P3" i="7"/>
  <c r="N3" i="7"/>
  <c r="U2" i="7"/>
  <c r="S2" i="7"/>
  <c r="Q2" i="7"/>
  <c r="M2" i="3"/>
  <c r="M6" i="3"/>
  <c r="M4" i="3"/>
  <c r="V7" i="3"/>
  <c r="T7" i="3"/>
  <c r="R7" i="3"/>
  <c r="P7" i="3"/>
  <c r="N7" i="3"/>
  <c r="U6" i="3"/>
  <c r="S6" i="3"/>
  <c r="Q6" i="3"/>
  <c r="O6" i="3"/>
  <c r="V5" i="3"/>
  <c r="R5" i="3"/>
  <c r="P5" i="3"/>
  <c r="N5" i="3"/>
  <c r="S4" i="3"/>
  <c r="O4" i="3"/>
  <c r="V3" i="3"/>
  <c r="R3" i="3"/>
  <c r="P3" i="3"/>
  <c r="N3" i="3"/>
  <c r="S2" i="3"/>
  <c r="V2" i="10"/>
  <c r="P2" i="2"/>
  <c r="V7" i="2"/>
  <c r="T7" i="2"/>
  <c r="R7" i="2"/>
  <c r="P7" i="2"/>
  <c r="U6" i="2"/>
  <c r="S6" i="2"/>
  <c r="Q6" i="2"/>
  <c r="O6" i="2"/>
  <c r="V4" i="2"/>
  <c r="T4" i="2"/>
  <c r="R4" i="2"/>
  <c r="P4" i="2"/>
  <c r="M7" i="6"/>
  <c r="M5" i="6"/>
  <c r="U7" i="6"/>
  <c r="S7" i="6"/>
  <c r="Q7" i="6"/>
  <c r="O7" i="6"/>
  <c r="V6" i="6"/>
  <c r="T6" i="6"/>
  <c r="R6" i="6"/>
  <c r="P6" i="6"/>
  <c r="N6" i="6"/>
  <c r="U5" i="6"/>
  <c r="S5" i="6"/>
  <c r="Q5" i="6"/>
  <c r="O5" i="6"/>
  <c r="V4" i="6"/>
  <c r="T4" i="6"/>
  <c r="R4" i="6"/>
  <c r="P4" i="6"/>
  <c r="N4" i="6"/>
  <c r="M7" i="7"/>
  <c r="M5" i="7"/>
  <c r="U7" i="7"/>
  <c r="S7" i="7"/>
  <c r="Q7" i="7"/>
  <c r="O7" i="7"/>
  <c r="V6" i="7"/>
  <c r="T6" i="7"/>
  <c r="P6" i="7"/>
  <c r="N6" i="7"/>
  <c r="S5" i="7"/>
  <c r="O5" i="7"/>
  <c r="V4" i="7"/>
  <c r="T4" i="7"/>
  <c r="R4" i="7"/>
  <c r="M7" i="3"/>
  <c r="M5" i="3"/>
  <c r="M3" i="3"/>
  <c r="U7" i="3"/>
  <c r="S7" i="3"/>
  <c r="Q7" i="3"/>
  <c r="O7" i="3"/>
  <c r="V6" i="3"/>
  <c r="T6" i="3"/>
  <c r="R6" i="3"/>
  <c r="P6" i="3"/>
  <c r="N6" i="3"/>
  <c r="Q5" i="3"/>
  <c r="O5" i="3"/>
  <c r="V4" i="3"/>
  <c r="T4" i="3"/>
  <c r="P4" i="3"/>
  <c r="N4" i="3"/>
  <c r="M2" i="10"/>
  <c r="O2" i="10"/>
  <c r="S2" i="10"/>
  <c r="M3" i="10"/>
  <c r="O3" i="10"/>
  <c r="Q3" i="10"/>
  <c r="U3" i="10"/>
  <c r="M4" i="10"/>
  <c r="O4" i="10"/>
  <c r="S4" i="10"/>
  <c r="U4" i="10"/>
  <c r="M5" i="10"/>
  <c r="O5" i="10"/>
  <c r="Q5" i="10"/>
  <c r="S5" i="10"/>
  <c r="U5" i="10"/>
  <c r="M6" i="10"/>
  <c r="O6" i="10"/>
  <c r="Q6" i="10"/>
  <c r="S6" i="10"/>
  <c r="U6" i="10"/>
  <c r="N2" i="10"/>
  <c r="P2" i="10"/>
  <c r="T2" i="10"/>
  <c r="P3" i="10"/>
  <c r="R3" i="10"/>
  <c r="T3" i="10"/>
  <c r="N4" i="10"/>
  <c r="P4" i="10"/>
  <c r="R4" i="10"/>
  <c r="T4" i="10"/>
  <c r="V4" i="10"/>
  <c r="N5" i="10"/>
  <c r="P5" i="10"/>
  <c r="R5" i="10"/>
  <c r="T5" i="10"/>
  <c r="N6" i="10"/>
  <c r="P6" i="10"/>
  <c r="R6" i="10"/>
  <c r="T6" i="10"/>
  <c r="V6" i="10"/>
  <c r="Q2" i="9"/>
  <c r="S2" i="9"/>
  <c r="U2" i="9"/>
  <c r="M3" i="9"/>
  <c r="O3" i="9"/>
  <c r="Q3" i="9"/>
  <c r="M4" i="9"/>
  <c r="O4" i="9"/>
  <c r="Q4" i="9"/>
  <c r="S4" i="9"/>
  <c r="U4" i="9"/>
  <c r="M5" i="9"/>
  <c r="O5" i="9"/>
  <c r="Q5" i="9"/>
  <c r="S5" i="9"/>
  <c r="U5" i="9"/>
  <c r="M6" i="9"/>
  <c r="O6" i="9"/>
  <c r="Q6" i="9"/>
  <c r="S6" i="9"/>
  <c r="U6" i="9"/>
  <c r="N2" i="9"/>
  <c r="P2" i="9"/>
  <c r="R2" i="9"/>
  <c r="T2" i="9"/>
  <c r="N3" i="9"/>
  <c r="P3" i="9"/>
  <c r="R3" i="9"/>
  <c r="T3" i="9"/>
  <c r="V3" i="9"/>
  <c r="N4" i="9"/>
  <c r="P4" i="9"/>
  <c r="R4" i="9"/>
  <c r="T4" i="9"/>
  <c r="V4" i="9"/>
  <c r="N5" i="9"/>
  <c r="P5" i="9"/>
  <c r="R5" i="9"/>
  <c r="T5" i="9"/>
  <c r="V5" i="9"/>
  <c r="N6" i="9"/>
  <c r="P6" i="9"/>
  <c r="R6" i="9"/>
  <c r="T6" i="9"/>
  <c r="V6" i="9"/>
  <c r="U2" i="2"/>
  <c r="S2" i="2"/>
  <c r="Q2" i="2"/>
  <c r="O2" i="2"/>
  <c r="N2" i="2"/>
  <c r="M2" i="2"/>
  <c r="V2" i="2"/>
  <c r="T2" i="2"/>
  <c r="R2" i="2"/>
  <c r="N6" i="2"/>
  <c r="N4" i="2"/>
  <c r="M7" i="2"/>
  <c r="M5" i="2"/>
  <c r="F71" i="10"/>
  <c r="F73" i="10"/>
  <c r="H73" i="10" s="1"/>
  <c r="F73" i="3"/>
  <c r="F70" i="9"/>
  <c r="F72" i="9"/>
  <c r="H72" i="9" s="1"/>
  <c r="F74" i="9"/>
  <c r="I5" i="9"/>
  <c r="I4" i="3"/>
  <c r="I5" i="3"/>
  <c r="F72" i="10"/>
  <c r="H72" i="10" s="1"/>
  <c r="F72" i="3"/>
  <c r="H44" i="9"/>
  <c r="H46" i="9"/>
  <c r="H48" i="9"/>
  <c r="H44" i="10"/>
  <c r="H46" i="10"/>
  <c r="H48" i="10"/>
  <c r="F10" i="4"/>
  <c r="F8" i="4"/>
  <c r="D4" i="4"/>
  <c r="E4" i="4"/>
  <c r="D8" i="4"/>
  <c r="D10" i="4"/>
  <c r="H31" i="10"/>
  <c r="H33" i="10"/>
  <c r="F71" i="3"/>
  <c r="F33" i="9"/>
  <c r="H33" i="9" s="1"/>
  <c r="F31" i="9"/>
  <c r="H31" i="9" s="1"/>
  <c r="I5" i="10"/>
  <c r="H30" i="10"/>
  <c r="H32" i="10"/>
  <c r="H45" i="10"/>
  <c r="H47" i="10"/>
  <c r="H32" i="9"/>
  <c r="F33" i="3"/>
  <c r="H33" i="3" s="1"/>
  <c r="F31" i="3"/>
  <c r="H31" i="3" s="1"/>
  <c r="F74" i="3"/>
  <c r="F70" i="3"/>
  <c r="H45" i="9"/>
  <c r="H47" i="9"/>
  <c r="I18" i="9"/>
  <c r="I19" i="9"/>
  <c r="H32" i="3"/>
  <c r="H30" i="3"/>
  <c r="H47" i="3"/>
  <c r="H45" i="3"/>
  <c r="H48" i="3"/>
  <c r="H46" i="3"/>
  <c r="H44" i="3"/>
  <c r="H4" i="3"/>
  <c r="F71" i="2"/>
  <c r="H78" i="2"/>
  <c r="I78" i="2" s="1"/>
  <c r="H79" i="2"/>
  <c r="H80" i="2"/>
  <c r="H35" i="2"/>
  <c r="H38" i="2"/>
  <c r="O37" i="1"/>
  <c r="R74" i="1" s="1"/>
  <c r="F13" i="1"/>
  <c r="D1" i="7"/>
  <c r="B66" i="4"/>
  <c r="B67" i="4"/>
  <c r="B68" i="4"/>
  <c r="B69" i="4"/>
  <c r="B65" i="4"/>
  <c r="G77" i="4"/>
  <c r="C22" i="4"/>
  <c r="E1" i="3"/>
  <c r="I47" i="3" l="1"/>
  <c r="F6" i="4"/>
  <c r="K17" i="10"/>
  <c r="N3" i="10" s="1"/>
  <c r="N8" i="10" s="1"/>
  <c r="F55" i="1"/>
  <c r="D28" i="9"/>
  <c r="D28" i="10"/>
  <c r="I71" i="3"/>
  <c r="D6" i="4"/>
  <c r="G6" i="4" s="1"/>
  <c r="V92" i="1"/>
  <c r="I45" i="10"/>
  <c r="I33" i="10"/>
  <c r="K16" i="10"/>
  <c r="U2" i="10" s="1"/>
  <c r="U8" i="10" s="1"/>
  <c r="I73" i="10"/>
  <c r="I47" i="10"/>
  <c r="I32" i="10"/>
  <c r="I70" i="10"/>
  <c r="H13" i="10"/>
  <c r="I13" i="10" s="1"/>
  <c r="H13" i="9"/>
  <c r="I30" i="3"/>
  <c r="H4" i="10"/>
  <c r="H7" i="10" s="1"/>
  <c r="I7" i="10" s="1"/>
  <c r="I31" i="3"/>
  <c r="I48" i="3"/>
  <c r="I74" i="3"/>
  <c r="I45" i="3"/>
  <c r="I32" i="3"/>
  <c r="I44" i="3"/>
  <c r="I33" i="3"/>
  <c r="I46" i="3"/>
  <c r="O9" i="1"/>
  <c r="G46" i="4" s="1"/>
  <c r="F35" i="1"/>
  <c r="W7" i="10"/>
  <c r="W7" i="9"/>
  <c r="W4" i="2"/>
  <c r="Q8" i="2"/>
  <c r="J16" i="11"/>
  <c r="S3" i="11" s="1"/>
  <c r="S8" i="11" s="1"/>
  <c r="H27" i="11"/>
  <c r="G43" i="4" s="1"/>
  <c r="D11" i="4"/>
  <c r="O47" i="1"/>
  <c r="S74" i="1" s="1"/>
  <c r="G54" i="4"/>
  <c r="U8" i="2"/>
  <c r="R8" i="2"/>
  <c r="V8" i="2"/>
  <c r="I32" i="2"/>
  <c r="G45" i="4"/>
  <c r="K18" i="10"/>
  <c r="Q4" i="10" s="1"/>
  <c r="W4" i="10" s="1"/>
  <c r="K19" i="10"/>
  <c r="V5" i="10" s="1"/>
  <c r="W5" i="10" s="1"/>
  <c r="G51" i="4"/>
  <c r="G52" i="4"/>
  <c r="G53" i="4"/>
  <c r="E13" i="4"/>
  <c r="E11" i="4"/>
  <c r="D13" i="4"/>
  <c r="S3" i="10"/>
  <c r="S8" i="10" s="1"/>
  <c r="V3" i="10"/>
  <c r="Q2" i="10"/>
  <c r="C9" i="4"/>
  <c r="C5" i="9"/>
  <c r="I72" i="9" s="1"/>
  <c r="H4" i="11"/>
  <c r="H6" i="11" s="1"/>
  <c r="O8" i="11"/>
  <c r="W4" i="11"/>
  <c r="W2" i="11"/>
  <c r="Q8" i="11"/>
  <c r="T8" i="11"/>
  <c r="P8" i="11"/>
  <c r="U8" i="11"/>
  <c r="W6" i="11"/>
  <c r="V8" i="11"/>
  <c r="R8" i="11"/>
  <c r="N8" i="11"/>
  <c r="W7" i="11"/>
  <c r="W5" i="11"/>
  <c r="M8" i="11"/>
  <c r="D7" i="4"/>
  <c r="W7" i="6"/>
  <c r="W3" i="2"/>
  <c r="I46" i="10"/>
  <c r="I43" i="10"/>
  <c r="I30" i="10"/>
  <c r="I31" i="10"/>
  <c r="F7" i="4"/>
  <c r="I48" i="10"/>
  <c r="I44" i="10"/>
  <c r="I72" i="10"/>
  <c r="I74" i="10"/>
  <c r="T8" i="2"/>
  <c r="O8" i="2"/>
  <c r="S8" i="2"/>
  <c r="I28" i="10"/>
  <c r="I71" i="10"/>
  <c r="W2" i="2"/>
  <c r="W7" i="3"/>
  <c r="W7" i="7"/>
  <c r="M8" i="2"/>
  <c r="N8" i="2"/>
  <c r="V8" i="9"/>
  <c r="O7" i="1"/>
  <c r="O27" i="1" s="1"/>
  <c r="C5" i="4"/>
  <c r="P8" i="2"/>
  <c r="G8" i="4"/>
  <c r="O8" i="10"/>
  <c r="M8" i="10"/>
  <c r="T8" i="10"/>
  <c r="P8" i="10"/>
  <c r="W6" i="10"/>
  <c r="R8" i="9"/>
  <c r="N8" i="9"/>
  <c r="W5" i="9"/>
  <c r="T8" i="9"/>
  <c r="P8" i="9"/>
  <c r="W6" i="9"/>
  <c r="W4" i="9"/>
  <c r="Q8" i="9"/>
  <c r="M8" i="3"/>
  <c r="P8" i="3"/>
  <c r="W6" i="3"/>
  <c r="V8" i="3"/>
  <c r="V8" i="6"/>
  <c r="R8" i="6"/>
  <c r="N8" i="6"/>
  <c r="W5" i="6"/>
  <c r="W3" i="6"/>
  <c r="S8" i="6"/>
  <c r="O8" i="6"/>
  <c r="M8" i="6"/>
  <c r="W2" i="6"/>
  <c r="T8" i="6"/>
  <c r="P8" i="6"/>
  <c r="W6" i="6"/>
  <c r="W4" i="6"/>
  <c r="U8" i="6"/>
  <c r="Q8" i="6"/>
  <c r="W5" i="2"/>
  <c r="J7" i="7"/>
  <c r="O4" i="7" s="1"/>
  <c r="J9" i="7"/>
  <c r="R6" i="7" s="1"/>
  <c r="J5" i="7"/>
  <c r="N2" i="7" s="1"/>
  <c r="J6" i="7"/>
  <c r="V3" i="7" s="1"/>
  <c r="V8" i="7" s="1"/>
  <c r="J8" i="7"/>
  <c r="U5" i="7" s="1"/>
  <c r="G10" i="4"/>
  <c r="G4" i="4"/>
  <c r="J78" i="2"/>
  <c r="I80" i="2"/>
  <c r="J80" i="2"/>
  <c r="J79" i="2"/>
  <c r="I79" i="2"/>
  <c r="H77" i="2"/>
  <c r="H10" i="7"/>
  <c r="F7" i="2"/>
  <c r="E7" i="2"/>
  <c r="C7" i="2"/>
  <c r="D84" i="2"/>
  <c r="H84" i="2" s="1"/>
  <c r="G98" i="4" s="1"/>
  <c r="Q5" i="7" l="1"/>
  <c r="Q8" i="7" s="1"/>
  <c r="P5" i="7"/>
  <c r="H28" i="10"/>
  <c r="G49" i="4" s="1"/>
  <c r="H28" i="9"/>
  <c r="G48" i="4" s="1"/>
  <c r="R2" i="10"/>
  <c r="R8" i="10" s="1"/>
  <c r="G13" i="4"/>
  <c r="I13" i="9"/>
  <c r="I28" i="9"/>
  <c r="W3" i="11"/>
  <c r="V8" i="10"/>
  <c r="I36" i="4" s="1"/>
  <c r="C36" i="4" s="1"/>
  <c r="Q8" i="10"/>
  <c r="I48" i="9"/>
  <c r="I32" i="9"/>
  <c r="K16" i="9"/>
  <c r="M2" i="9" s="1"/>
  <c r="M2" i="7"/>
  <c r="O2" i="7"/>
  <c r="R5" i="7"/>
  <c r="R8" i="7" s="1"/>
  <c r="T5" i="7"/>
  <c r="T8" i="7" s="1"/>
  <c r="P4" i="7"/>
  <c r="N4" i="7"/>
  <c r="N8" i="7" s="1"/>
  <c r="W3" i="10"/>
  <c r="S6" i="7"/>
  <c r="S8" i="7" s="1"/>
  <c r="U6" i="7"/>
  <c r="U8" i="7" s="1"/>
  <c r="I71" i="9"/>
  <c r="I44" i="9"/>
  <c r="I74" i="9"/>
  <c r="I43" i="9"/>
  <c r="I31" i="9"/>
  <c r="I73" i="9"/>
  <c r="I46" i="9"/>
  <c r="O3" i="7"/>
  <c r="M3" i="7"/>
  <c r="O2" i="9"/>
  <c r="O8" i="9" s="1"/>
  <c r="D9" i="4"/>
  <c r="E9" i="4"/>
  <c r="F9" i="4"/>
  <c r="I33" i="9"/>
  <c r="I47" i="9"/>
  <c r="I30" i="9"/>
  <c r="H5" i="9"/>
  <c r="H7" i="9" s="1"/>
  <c r="I7" i="9" s="1"/>
  <c r="K17" i="9"/>
  <c r="I70" i="9"/>
  <c r="I45" i="9"/>
  <c r="G7" i="4"/>
  <c r="Q74" i="1"/>
  <c r="P74" i="1" s="1"/>
  <c r="U75" i="1" s="1"/>
  <c r="E5" i="4"/>
  <c r="D5" i="4"/>
  <c r="F5" i="4"/>
  <c r="W6" i="2"/>
  <c r="I77" i="2"/>
  <c r="J77" i="2"/>
  <c r="H73" i="3"/>
  <c r="I73" i="3" s="1"/>
  <c r="H72" i="3"/>
  <c r="I72" i="3" s="1"/>
  <c r="H7" i="2"/>
  <c r="C15" i="4"/>
  <c r="E14" i="2"/>
  <c r="C14" i="2"/>
  <c r="P8" i="7" l="1"/>
  <c r="I30" i="4" s="1"/>
  <c r="C30" i="4" s="1"/>
  <c r="W2" i="10"/>
  <c r="O8" i="7"/>
  <c r="W2" i="7"/>
  <c r="M8" i="9"/>
  <c r="W2" i="9"/>
  <c r="W4" i="7"/>
  <c r="W5" i="7"/>
  <c r="M8" i="7"/>
  <c r="S3" i="9"/>
  <c r="S8" i="9" s="1"/>
  <c r="U3" i="9"/>
  <c r="U8" i="9" s="1"/>
  <c r="W6" i="7"/>
  <c r="W3" i="7"/>
  <c r="G9" i="4"/>
  <c r="G5" i="4"/>
  <c r="W7" i="2"/>
  <c r="D15" i="4"/>
  <c r="F15" i="4"/>
  <c r="E15" i="4"/>
  <c r="E4" i="6"/>
  <c r="L27" i="4" l="1"/>
  <c r="I27" i="4"/>
  <c r="C27" i="4" s="1"/>
  <c r="W3" i="9"/>
  <c r="F29" i="10"/>
  <c r="H29" i="10" s="1"/>
  <c r="I29" i="10" s="1"/>
  <c r="R75" i="1"/>
  <c r="T75" i="1"/>
  <c r="Q75" i="1"/>
  <c r="S75" i="1"/>
  <c r="G15" i="4"/>
  <c r="E12" i="3"/>
  <c r="D12" i="3"/>
  <c r="C12" i="3"/>
  <c r="F4" i="2"/>
  <c r="E4" i="2"/>
  <c r="C4" i="2"/>
  <c r="E75" i="3"/>
  <c r="H76" i="2"/>
  <c r="I76" i="2" s="1"/>
  <c r="C10" i="6"/>
  <c r="C4" i="6"/>
  <c r="I84" i="2"/>
  <c r="G97" i="4"/>
  <c r="F6" i="2"/>
  <c r="H68" i="1"/>
  <c r="F20" i="3" s="1"/>
  <c r="H20" i="3" s="1"/>
  <c r="I20" i="3" s="1"/>
  <c r="E6" i="2"/>
  <c r="C6" i="2"/>
  <c r="J32" i="2" s="1"/>
  <c r="E5" i="2"/>
  <c r="B88" i="4"/>
  <c r="B89" i="4"/>
  <c r="B90" i="4"/>
  <c r="B91" i="4"/>
  <c r="B92" i="4"/>
  <c r="B93" i="4"/>
  <c r="B94" i="4"/>
  <c r="B95" i="4"/>
  <c r="B87" i="4"/>
  <c r="D1" i="2"/>
  <c r="C1" i="6"/>
  <c r="S116" i="1" l="1"/>
  <c r="S118" i="1"/>
  <c r="F53" i="9" s="1"/>
  <c r="S103" i="1"/>
  <c r="S107" i="1"/>
  <c r="S117" i="1"/>
  <c r="F52" i="9" s="1"/>
  <c r="S121" i="1"/>
  <c r="S102" i="1"/>
  <c r="S106" i="1"/>
  <c r="S99" i="1"/>
  <c r="S100" i="1"/>
  <c r="S104" i="1"/>
  <c r="S119" i="1"/>
  <c r="S108" i="1"/>
  <c r="S120" i="1"/>
  <c r="S101" i="1"/>
  <c r="S105" i="1"/>
  <c r="V120" i="1"/>
  <c r="V101" i="1"/>
  <c r="V105" i="1"/>
  <c r="Q117" i="1"/>
  <c r="Q121" i="1"/>
  <c r="Q102" i="1"/>
  <c r="Q106" i="1"/>
  <c r="V119" i="1"/>
  <c r="V100" i="1"/>
  <c r="V104" i="1"/>
  <c r="V108" i="1"/>
  <c r="Q120" i="1"/>
  <c r="V116" i="1"/>
  <c r="Q101" i="1"/>
  <c r="Q105" i="1"/>
  <c r="V117" i="1"/>
  <c r="V106" i="1"/>
  <c r="Q107" i="1"/>
  <c r="V118" i="1"/>
  <c r="Q116" i="1"/>
  <c r="V103" i="1"/>
  <c r="V107" i="1"/>
  <c r="V121" i="1"/>
  <c r="Q118" i="1"/>
  <c r="Q119" i="1"/>
  <c r="Q100" i="1"/>
  <c r="F46" i="2" s="1"/>
  <c r="Q104" i="1"/>
  <c r="Q108" i="1"/>
  <c r="V102" i="1"/>
  <c r="Q103" i="1"/>
  <c r="U119" i="1"/>
  <c r="F53" i="11" s="1"/>
  <c r="U120" i="1"/>
  <c r="U117" i="1"/>
  <c r="F51" i="11" s="1"/>
  <c r="U118" i="1"/>
  <c r="F52" i="11" s="1"/>
  <c r="U103" i="1"/>
  <c r="U100" i="1"/>
  <c r="U104" i="1"/>
  <c r="U101" i="1"/>
  <c r="U108" i="1"/>
  <c r="U105" i="1"/>
  <c r="U116" i="1"/>
  <c r="U121" i="1"/>
  <c r="U102" i="1"/>
  <c r="U107" i="1"/>
  <c r="U106" i="1"/>
  <c r="T119" i="1"/>
  <c r="F54" i="10" s="1"/>
  <c r="T100" i="1"/>
  <c r="T104" i="1"/>
  <c r="T108" i="1"/>
  <c r="T116" i="1"/>
  <c r="T118" i="1"/>
  <c r="F53" i="10" s="1"/>
  <c r="T103" i="1"/>
  <c r="T107" i="1"/>
  <c r="T101" i="1"/>
  <c r="T117" i="1"/>
  <c r="F52" i="10" s="1"/>
  <c r="T121" i="1"/>
  <c r="T102" i="1"/>
  <c r="T106" i="1"/>
  <c r="T105" i="1"/>
  <c r="T99" i="1"/>
  <c r="T120" i="1"/>
  <c r="R118" i="1"/>
  <c r="F53" i="3" s="1"/>
  <c r="R103" i="1"/>
  <c r="R107" i="1"/>
  <c r="R117" i="1"/>
  <c r="F52" i="3" s="1"/>
  <c r="R121" i="1"/>
  <c r="R102" i="1"/>
  <c r="R106" i="1"/>
  <c r="R99" i="1"/>
  <c r="R104" i="1"/>
  <c r="R120" i="1"/>
  <c r="R101" i="1"/>
  <c r="R105" i="1"/>
  <c r="R108" i="1"/>
  <c r="R116" i="1"/>
  <c r="R119" i="1"/>
  <c r="F54" i="3" s="1"/>
  <c r="R100" i="1"/>
  <c r="V99" i="1"/>
  <c r="U99" i="1"/>
  <c r="Q83" i="1"/>
  <c r="F30" i="2" s="1"/>
  <c r="H30" i="2" s="1"/>
  <c r="Q91" i="1"/>
  <c r="F34" i="2" s="1"/>
  <c r="H34" i="2" s="1"/>
  <c r="Q81" i="1"/>
  <c r="Q82" i="1"/>
  <c r="F29" i="2" s="1"/>
  <c r="H29" i="2" s="1"/>
  <c r="P75" i="1"/>
  <c r="U83" i="1"/>
  <c r="F26" i="11" s="1"/>
  <c r="U81" i="1"/>
  <c r="F24" i="11" s="1"/>
  <c r="U91" i="1"/>
  <c r="F28" i="11" s="1"/>
  <c r="H28" i="11" s="1"/>
  <c r="U82" i="1"/>
  <c r="F25" i="11" s="1"/>
  <c r="R82" i="1"/>
  <c r="R81" i="1"/>
  <c r="F25" i="3" s="1"/>
  <c r="H25" i="3" s="1"/>
  <c r="R83" i="1"/>
  <c r="F27" i="3" s="1"/>
  <c r="H27" i="3" s="1"/>
  <c r="I27" i="3" s="1"/>
  <c r="R91" i="1"/>
  <c r="F29" i="3" s="1"/>
  <c r="H29" i="3" s="1"/>
  <c r="I29" i="3" s="1"/>
  <c r="S83" i="1"/>
  <c r="F27" i="9" s="1"/>
  <c r="H27" i="9" s="1"/>
  <c r="I27" i="9" s="1"/>
  <c r="S91" i="1"/>
  <c r="F29" i="9" s="1"/>
  <c r="H29" i="9" s="1"/>
  <c r="I29" i="9" s="1"/>
  <c r="S82" i="1"/>
  <c r="F26" i="9" s="1"/>
  <c r="H26" i="9" s="1"/>
  <c r="I26" i="9" s="1"/>
  <c r="S81" i="1"/>
  <c r="F25" i="9" s="1"/>
  <c r="H25" i="9" s="1"/>
  <c r="I25" i="9" s="1"/>
  <c r="T82" i="1"/>
  <c r="T81" i="1"/>
  <c r="T83" i="1"/>
  <c r="H56" i="9"/>
  <c r="I56" i="9" s="1"/>
  <c r="H12" i="3"/>
  <c r="K18" i="3"/>
  <c r="R4" i="3" s="1"/>
  <c r="R8" i="3" s="1"/>
  <c r="I32" i="4" s="1"/>
  <c r="C32" i="4" s="1"/>
  <c r="K16" i="3"/>
  <c r="K17" i="3"/>
  <c r="K19" i="3"/>
  <c r="T5" i="3" s="1"/>
  <c r="G47" i="4"/>
  <c r="H4" i="2"/>
  <c r="J84" i="2"/>
  <c r="H11" i="3"/>
  <c r="H6" i="2"/>
  <c r="H45" i="2"/>
  <c r="J45" i="2" s="1"/>
  <c r="H71" i="2"/>
  <c r="H14" i="2"/>
  <c r="J76" i="2"/>
  <c r="B52" i="3"/>
  <c r="B53" i="3"/>
  <c r="B54" i="3"/>
  <c r="B55" i="3"/>
  <c r="B56" i="3"/>
  <c r="B57" i="2"/>
  <c r="C57" i="2" s="1"/>
  <c r="F57" i="2" s="1"/>
  <c r="B58" i="2"/>
  <c r="C58" i="2" s="1"/>
  <c r="B59" i="2"/>
  <c r="C59" i="2" s="1"/>
  <c r="B60" i="2"/>
  <c r="C60" i="2" s="1"/>
  <c r="F60" i="2" s="1"/>
  <c r="B61" i="2"/>
  <c r="C61" i="2" s="1"/>
  <c r="F61" i="2" s="1"/>
  <c r="F4" i="6"/>
  <c r="H4" i="6" s="1"/>
  <c r="C14" i="4"/>
  <c r="E10" i="6"/>
  <c r="J35" i="2"/>
  <c r="I36" i="2"/>
  <c r="I37" i="2"/>
  <c r="I38" i="2"/>
  <c r="G74" i="4"/>
  <c r="G75" i="4"/>
  <c r="G76" i="4"/>
  <c r="G73" i="4"/>
  <c r="B62" i="4"/>
  <c r="B63" i="4"/>
  <c r="B64" i="4"/>
  <c r="B61" i="4"/>
  <c r="B28" i="4"/>
  <c r="B29" i="4"/>
  <c r="B30" i="4"/>
  <c r="B31" i="4"/>
  <c r="B32" i="4"/>
  <c r="B33" i="4"/>
  <c r="B34" i="4"/>
  <c r="B35" i="4"/>
  <c r="B36" i="4"/>
  <c r="E36" i="4" s="1"/>
  <c r="B27" i="4"/>
  <c r="D22" i="4"/>
  <c r="D21" i="4"/>
  <c r="I8" i="3"/>
  <c r="I23" i="3"/>
  <c r="I37" i="3"/>
  <c r="I50" i="3"/>
  <c r="I59" i="3"/>
  <c r="U2" i="3" l="1"/>
  <c r="Q2" i="3"/>
  <c r="T3" i="3"/>
  <c r="O3" i="3"/>
  <c r="W3" i="3" s="1"/>
  <c r="I71" i="2"/>
  <c r="J71" i="2"/>
  <c r="F58" i="2"/>
  <c r="F59" i="2"/>
  <c r="H55" i="9"/>
  <c r="I55" i="9" s="1"/>
  <c r="F54" i="9"/>
  <c r="H54" i="9" s="1"/>
  <c r="I54" i="9" s="1"/>
  <c r="F69" i="10"/>
  <c r="H69" i="10" s="1"/>
  <c r="I69" i="10" s="1"/>
  <c r="F43" i="10"/>
  <c r="H43" i="10" s="1"/>
  <c r="F69" i="3"/>
  <c r="H69" i="3" s="1"/>
  <c r="I69" i="3" s="1"/>
  <c r="F43" i="3"/>
  <c r="H43" i="3" s="1"/>
  <c r="I43" i="3" s="1"/>
  <c r="F68" i="11"/>
  <c r="H68" i="11" s="1"/>
  <c r="F42" i="11"/>
  <c r="H42" i="11" s="1"/>
  <c r="F69" i="9"/>
  <c r="H69" i="9" s="1"/>
  <c r="I69" i="9" s="1"/>
  <c r="F43" i="9"/>
  <c r="H43" i="9" s="1"/>
  <c r="F75" i="2"/>
  <c r="H75" i="2" s="1"/>
  <c r="J75" i="2" s="1"/>
  <c r="F49" i="2"/>
  <c r="H49" i="2" s="1"/>
  <c r="F68" i="9"/>
  <c r="H68" i="9" s="1"/>
  <c r="I68" i="9" s="1"/>
  <c r="F42" i="9"/>
  <c r="H42" i="9" s="1"/>
  <c r="I42" i="9" s="1"/>
  <c r="F74" i="2"/>
  <c r="H74" i="2" s="1"/>
  <c r="J74" i="2" s="1"/>
  <c r="F48" i="2"/>
  <c r="H48" i="2" s="1"/>
  <c r="F41" i="11"/>
  <c r="H41" i="11" s="1"/>
  <c r="F67" i="11"/>
  <c r="H67" i="11" s="1"/>
  <c r="F42" i="3"/>
  <c r="H42" i="3" s="1"/>
  <c r="I42" i="3" s="1"/>
  <c r="F68" i="3"/>
  <c r="F42" i="10"/>
  <c r="H42" i="10" s="1"/>
  <c r="I42" i="10" s="1"/>
  <c r="F68" i="10"/>
  <c r="H68" i="10" s="1"/>
  <c r="I68" i="10" s="1"/>
  <c r="H53" i="9"/>
  <c r="I53" i="9" s="1"/>
  <c r="F75" i="9"/>
  <c r="H75" i="9" s="1"/>
  <c r="I75" i="9" s="1"/>
  <c r="H52" i="9"/>
  <c r="I52" i="9" s="1"/>
  <c r="F74" i="11"/>
  <c r="H74" i="11" s="1"/>
  <c r="H51" i="11"/>
  <c r="F75" i="3"/>
  <c r="H75" i="3" s="1"/>
  <c r="I75" i="3" s="1"/>
  <c r="F73" i="2"/>
  <c r="H73" i="2" s="1"/>
  <c r="J73" i="2" s="1"/>
  <c r="F47" i="2"/>
  <c r="H47" i="2" s="1"/>
  <c r="J47" i="2" s="1"/>
  <c r="F41" i="9"/>
  <c r="H41" i="9" s="1"/>
  <c r="I41" i="9" s="1"/>
  <c r="F67" i="9"/>
  <c r="H67" i="9" s="1"/>
  <c r="I67" i="9" s="1"/>
  <c r="F41" i="3"/>
  <c r="H41" i="3" s="1"/>
  <c r="I41" i="3" s="1"/>
  <c r="F67" i="3"/>
  <c r="F67" i="10"/>
  <c r="H67" i="10" s="1"/>
  <c r="I67" i="10" s="1"/>
  <c r="F41" i="10"/>
  <c r="H41" i="10" s="1"/>
  <c r="I41" i="10" s="1"/>
  <c r="F40" i="11"/>
  <c r="H40" i="11" s="1"/>
  <c r="F66" i="11"/>
  <c r="H66" i="11" s="1"/>
  <c r="S5" i="3"/>
  <c r="S8" i="3" s="1"/>
  <c r="I33" i="4" s="1"/>
  <c r="C33" i="4" s="1"/>
  <c r="U5" i="3"/>
  <c r="N2" i="3"/>
  <c r="N8" i="3" s="1"/>
  <c r="I28" i="4" s="1"/>
  <c r="C28" i="4" s="1"/>
  <c r="O2" i="3"/>
  <c r="U4" i="3"/>
  <c r="Q4" i="3"/>
  <c r="Q8" i="3" s="1"/>
  <c r="I31" i="4" s="1"/>
  <c r="C31" i="4" s="1"/>
  <c r="F65" i="11"/>
  <c r="H65" i="11" s="1"/>
  <c r="F39" i="11"/>
  <c r="H39" i="11" s="1"/>
  <c r="V81" i="1"/>
  <c r="V83" i="1"/>
  <c r="V82" i="1"/>
  <c r="V91" i="1"/>
  <c r="H55" i="10"/>
  <c r="I55" i="10" s="1"/>
  <c r="H54" i="11"/>
  <c r="H52" i="10"/>
  <c r="I52" i="10" s="1"/>
  <c r="H54" i="10"/>
  <c r="I54" i="10" s="1"/>
  <c r="H53" i="11"/>
  <c r="F26" i="10"/>
  <c r="H26" i="10" s="1"/>
  <c r="I26" i="10" s="1"/>
  <c r="H25" i="11"/>
  <c r="F75" i="10"/>
  <c r="H75" i="10" s="1"/>
  <c r="I75" i="10" s="1"/>
  <c r="H53" i="10"/>
  <c r="I53" i="10" s="1"/>
  <c r="H52" i="11"/>
  <c r="H56" i="10"/>
  <c r="I56" i="10" s="1"/>
  <c r="H55" i="11"/>
  <c r="F25" i="10"/>
  <c r="H25" i="10" s="1"/>
  <c r="I25" i="10" s="1"/>
  <c r="H24" i="11"/>
  <c r="F27" i="10"/>
  <c r="H27" i="10" s="1"/>
  <c r="H26" i="11"/>
  <c r="I25" i="3"/>
  <c r="H52" i="2"/>
  <c r="F28" i="2"/>
  <c r="H28" i="2" s="1"/>
  <c r="F40" i="3"/>
  <c r="F66" i="3"/>
  <c r="F83" i="2"/>
  <c r="H83" i="2" s="1"/>
  <c r="F40" i="10"/>
  <c r="H40" i="10" s="1"/>
  <c r="F66" i="10"/>
  <c r="H66" i="10" s="1"/>
  <c r="G50" i="4"/>
  <c r="H53" i="2"/>
  <c r="F72" i="2"/>
  <c r="H72" i="2" s="1"/>
  <c r="J72" i="2" s="1"/>
  <c r="H46" i="2"/>
  <c r="J46" i="2" s="1"/>
  <c r="F40" i="9"/>
  <c r="H40" i="9" s="1"/>
  <c r="F66" i="9"/>
  <c r="H66" i="9" s="1"/>
  <c r="F26" i="3"/>
  <c r="H26" i="3" s="1"/>
  <c r="T8" i="3"/>
  <c r="I34" i="4" s="1"/>
  <c r="C34" i="4" s="1"/>
  <c r="E34" i="4"/>
  <c r="D34" i="4"/>
  <c r="F34" i="4"/>
  <c r="E32" i="4"/>
  <c r="G32" i="4" s="1"/>
  <c r="D32" i="4"/>
  <c r="F32" i="4"/>
  <c r="E30" i="4"/>
  <c r="G30" i="4" s="1"/>
  <c r="D30" i="4"/>
  <c r="F30" i="4"/>
  <c r="E28" i="4"/>
  <c r="D28" i="4"/>
  <c r="F28" i="4"/>
  <c r="E27" i="4"/>
  <c r="G27" i="4" s="1"/>
  <c r="D27" i="4"/>
  <c r="F27" i="4"/>
  <c r="F35" i="4"/>
  <c r="E35" i="4"/>
  <c r="D35" i="4"/>
  <c r="F33" i="4"/>
  <c r="E33" i="4"/>
  <c r="D33" i="4"/>
  <c r="F31" i="4"/>
  <c r="E31" i="4"/>
  <c r="D31" i="4"/>
  <c r="F29" i="4"/>
  <c r="E29" i="4"/>
  <c r="D29" i="4"/>
  <c r="F14" i="4"/>
  <c r="E14" i="4"/>
  <c r="D14" i="4"/>
  <c r="D12" i="4"/>
  <c r="F12" i="4"/>
  <c r="E12" i="4"/>
  <c r="I45" i="2"/>
  <c r="J37" i="2"/>
  <c r="J38" i="2"/>
  <c r="J36" i="2"/>
  <c r="J33" i="2"/>
  <c r="I35" i="2"/>
  <c r="J14" i="2"/>
  <c r="I14" i="2"/>
  <c r="G78" i="4"/>
  <c r="I33" i="2"/>
  <c r="G95" i="4"/>
  <c r="G94" i="4"/>
  <c r="G93" i="4"/>
  <c r="G92" i="4"/>
  <c r="G91" i="4"/>
  <c r="G90" i="4"/>
  <c r="G89" i="4"/>
  <c r="G88" i="4"/>
  <c r="G87" i="4"/>
  <c r="H13" i="3"/>
  <c r="I13" i="3" s="1"/>
  <c r="D36" i="4"/>
  <c r="F36" i="4"/>
  <c r="H6" i="6"/>
  <c r="H10" i="6"/>
  <c r="C21" i="4"/>
  <c r="G21" i="4" s="1"/>
  <c r="G22" i="4"/>
  <c r="H69" i="1"/>
  <c r="H70" i="1"/>
  <c r="H71" i="1"/>
  <c r="H72" i="1"/>
  <c r="H73" i="1"/>
  <c r="H74" i="1"/>
  <c r="H75" i="1"/>
  <c r="H76" i="1"/>
  <c r="H77" i="1"/>
  <c r="F5" i="2"/>
  <c r="H5" i="2" s="1"/>
  <c r="F17" i="3" l="1"/>
  <c r="H17" i="3" s="1"/>
  <c r="I17" i="3" s="1"/>
  <c r="O8" i="3"/>
  <c r="I29" i="4" s="1"/>
  <c r="C29" i="4" s="1"/>
  <c r="G29" i="4" s="1"/>
  <c r="F18" i="10"/>
  <c r="H18" i="10" s="1"/>
  <c r="I18" i="10" s="1"/>
  <c r="F10" i="7"/>
  <c r="I75" i="2"/>
  <c r="I74" i="2"/>
  <c r="G36" i="4"/>
  <c r="F19" i="10"/>
  <c r="H19" i="10" s="1"/>
  <c r="I19" i="10" s="1"/>
  <c r="F16" i="9"/>
  <c r="H16" i="9" s="1"/>
  <c r="I16" i="9" s="1"/>
  <c r="H17" i="6"/>
  <c r="F17" i="6"/>
  <c r="F5" i="7"/>
  <c r="H5" i="7"/>
  <c r="I73" i="2"/>
  <c r="W5" i="3"/>
  <c r="G31" i="4"/>
  <c r="I57" i="9"/>
  <c r="I57" i="10"/>
  <c r="U8" i="3"/>
  <c r="I35" i="4" s="1"/>
  <c r="C35" i="4" s="1"/>
  <c r="G35" i="4" s="1"/>
  <c r="G41" i="4"/>
  <c r="H57" i="9"/>
  <c r="G42" i="4"/>
  <c r="W4" i="3"/>
  <c r="W2" i="3"/>
  <c r="G40" i="4"/>
  <c r="I34" i="2"/>
  <c r="G34" i="4"/>
  <c r="G28" i="4"/>
  <c r="G33" i="4"/>
  <c r="H57" i="10"/>
  <c r="F17" i="10"/>
  <c r="H17" i="10" s="1"/>
  <c r="I17" i="10" s="1"/>
  <c r="F16" i="11"/>
  <c r="H16" i="11" s="1"/>
  <c r="F16" i="3"/>
  <c r="H16" i="3" s="1"/>
  <c r="F16" i="10"/>
  <c r="H16" i="10" s="1"/>
  <c r="F18" i="3"/>
  <c r="H18" i="3" s="1"/>
  <c r="I18" i="3" s="1"/>
  <c r="F15" i="11"/>
  <c r="H15" i="11" s="1"/>
  <c r="F19" i="3"/>
  <c r="H19" i="3" s="1"/>
  <c r="I19" i="3" s="1"/>
  <c r="F17" i="9"/>
  <c r="H17" i="9" s="1"/>
  <c r="I17" i="9" s="1"/>
  <c r="G12" i="4"/>
  <c r="I27" i="10"/>
  <c r="H48" i="11"/>
  <c r="H56" i="11"/>
  <c r="H75" i="11"/>
  <c r="G14" i="4"/>
  <c r="H76" i="10"/>
  <c r="I66" i="10"/>
  <c r="I76" i="10" s="1"/>
  <c r="H49" i="10"/>
  <c r="I40" i="10"/>
  <c r="I49" i="10" s="1"/>
  <c r="H49" i="9"/>
  <c r="I40" i="9"/>
  <c r="I49" i="9" s="1"/>
  <c r="H76" i="9"/>
  <c r="I66" i="9"/>
  <c r="I76" i="9" s="1"/>
  <c r="I46" i="2"/>
  <c r="I47" i="2"/>
  <c r="J52" i="2"/>
  <c r="I52" i="2"/>
  <c r="I26" i="3"/>
  <c r="I72" i="2"/>
  <c r="J53" i="2"/>
  <c r="I53" i="2"/>
  <c r="I48" i="2"/>
  <c r="J48" i="2"/>
  <c r="J34" i="2"/>
  <c r="J49" i="2"/>
  <c r="I49" i="2"/>
  <c r="I83" i="2"/>
  <c r="J83" i="2"/>
  <c r="F18" i="2"/>
  <c r="H14" i="6"/>
  <c r="F14" i="6"/>
  <c r="H18" i="2"/>
  <c r="J18" i="2" s="1"/>
  <c r="H22" i="2"/>
  <c r="J22" i="2" s="1"/>
  <c r="F22" i="2"/>
  <c r="F8" i="7"/>
  <c r="H8" i="7"/>
  <c r="F7" i="7"/>
  <c r="F20" i="2"/>
  <c r="H20" i="2"/>
  <c r="H7" i="7"/>
  <c r="H23" i="2"/>
  <c r="F23" i="2"/>
  <c r="F9" i="7"/>
  <c r="F16" i="6"/>
  <c r="H16" i="6"/>
  <c r="H9" i="7"/>
  <c r="H21" i="2"/>
  <c r="F21" i="2"/>
  <c r="H19" i="2"/>
  <c r="F19" i="2"/>
  <c r="H15" i="6"/>
  <c r="F6" i="7"/>
  <c r="F15" i="6"/>
  <c r="H6" i="7"/>
  <c r="H68" i="3"/>
  <c r="I68" i="3" s="1"/>
  <c r="H66" i="3"/>
  <c r="I66" i="3" s="1"/>
  <c r="H40" i="3"/>
  <c r="I40" i="3" s="1"/>
  <c r="I49" i="3" s="1"/>
  <c r="H67" i="3"/>
  <c r="I67" i="3" s="1"/>
  <c r="G23" i="4"/>
  <c r="H58" i="2"/>
  <c r="H60" i="2"/>
  <c r="J60" i="2" s="1"/>
  <c r="H9" i="2"/>
  <c r="G99" i="4"/>
  <c r="H57" i="2"/>
  <c r="J57" i="2" s="1"/>
  <c r="H59" i="2"/>
  <c r="J59" i="2" s="1"/>
  <c r="H61" i="2"/>
  <c r="J61" i="2" s="1"/>
  <c r="H5" i="3"/>
  <c r="I21" i="2" l="1"/>
  <c r="J21" i="2"/>
  <c r="I58" i="9"/>
  <c r="I58" i="10"/>
  <c r="H58" i="9"/>
  <c r="H58" i="10"/>
  <c r="J58" i="2"/>
  <c r="I18" i="2"/>
  <c r="I22" i="9"/>
  <c r="I16" i="3"/>
  <c r="I22" i="3" s="1"/>
  <c r="H22" i="3"/>
  <c r="H34" i="3" s="1"/>
  <c r="I34" i="3" s="1"/>
  <c r="I35" i="3" s="1"/>
  <c r="H22" i="9"/>
  <c r="H34" i="9" s="1"/>
  <c r="H21" i="11"/>
  <c r="H33" i="11" s="1"/>
  <c r="I16" i="10"/>
  <c r="I22" i="10" s="1"/>
  <c r="H22" i="10"/>
  <c r="H34" i="10" s="1"/>
  <c r="H57" i="11"/>
  <c r="H7" i="3"/>
  <c r="I7" i="3" s="1"/>
  <c r="H20" i="6"/>
  <c r="H24" i="6" s="1"/>
  <c r="H25" i="6" s="1"/>
  <c r="H11" i="7"/>
  <c r="J20" i="2"/>
  <c r="I20" i="2"/>
  <c r="I19" i="2"/>
  <c r="J19" i="2"/>
  <c r="I23" i="2"/>
  <c r="J23" i="2"/>
  <c r="I9" i="2"/>
  <c r="J9" i="2"/>
  <c r="I60" i="2"/>
  <c r="I58" i="2"/>
  <c r="I29" i="2"/>
  <c r="I59" i="2"/>
  <c r="I61" i="2"/>
  <c r="I22" i="2"/>
  <c r="G11" i="4"/>
  <c r="G17" i="4" s="1"/>
  <c r="H34" i="11" l="1"/>
  <c r="H35" i="11" s="1"/>
  <c r="H59" i="11" s="1"/>
  <c r="H61" i="11" s="1"/>
  <c r="I36" i="3"/>
  <c r="I34" i="9"/>
  <c r="I35" i="9" s="1"/>
  <c r="I36" i="9" s="1"/>
  <c r="I60" i="9" s="1"/>
  <c r="H35" i="9"/>
  <c r="H36" i="9" s="1"/>
  <c r="H60" i="9" s="1"/>
  <c r="I34" i="10"/>
  <c r="I35" i="10" s="1"/>
  <c r="I36" i="10" s="1"/>
  <c r="I60" i="10" s="1"/>
  <c r="H35" i="10"/>
  <c r="H24" i="2"/>
  <c r="H25" i="2" s="1"/>
  <c r="I28" i="2"/>
  <c r="I30" i="2"/>
  <c r="I31" i="2"/>
  <c r="J28" i="2"/>
  <c r="J29" i="2"/>
  <c r="J30" i="2"/>
  <c r="J31" i="2"/>
  <c r="G37" i="4"/>
  <c r="H76" i="3"/>
  <c r="H26" i="6"/>
  <c r="H28" i="6" s="1"/>
  <c r="H13" i="2" s="1"/>
  <c r="J13" i="2" s="1"/>
  <c r="H53" i="3"/>
  <c r="I53" i="3" s="1"/>
  <c r="H55" i="3"/>
  <c r="I55" i="3" s="1"/>
  <c r="H52" i="3"/>
  <c r="I52" i="3" s="1"/>
  <c r="H54" i="3"/>
  <c r="I54" i="3" s="1"/>
  <c r="H56" i="3"/>
  <c r="I56" i="3" s="1"/>
  <c r="H36" i="10" l="1"/>
  <c r="H60" i="10" s="1"/>
  <c r="H62" i="10" s="1"/>
  <c r="H78" i="11"/>
  <c r="H80" i="11" s="1"/>
  <c r="I79" i="9"/>
  <c r="I81" i="9" s="1"/>
  <c r="I62" i="9"/>
  <c r="I62" i="10"/>
  <c r="I79" i="10"/>
  <c r="I81" i="10" s="1"/>
  <c r="H62" i="9"/>
  <c r="H79" i="9"/>
  <c r="H81" i="9" s="1"/>
  <c r="I57" i="3"/>
  <c r="I58" i="3" s="1"/>
  <c r="I60" i="3" s="1"/>
  <c r="I62" i="3" s="1"/>
  <c r="I24" i="2"/>
  <c r="I25" i="2" s="1"/>
  <c r="J24" i="2"/>
  <c r="J25" i="2" s="1"/>
  <c r="J15" i="2"/>
  <c r="H15" i="2"/>
  <c r="I57" i="2"/>
  <c r="H85" i="2"/>
  <c r="I13" i="2"/>
  <c r="I15" i="2" s="1"/>
  <c r="I76" i="3"/>
  <c r="H57" i="3"/>
  <c r="H62" i="2"/>
  <c r="H79" i="10" l="1"/>
  <c r="H81" i="10" s="1"/>
  <c r="G70" i="4"/>
  <c r="G79" i="4" s="1"/>
  <c r="H49" i="3"/>
  <c r="H58" i="3" s="1"/>
  <c r="I85" i="2"/>
  <c r="J85" i="2"/>
  <c r="J54" i="2"/>
  <c r="I54" i="2"/>
  <c r="I62" i="2"/>
  <c r="H54" i="2"/>
  <c r="H39" i="2" s="1"/>
  <c r="J62" i="2"/>
  <c r="H63" i="2" l="1"/>
  <c r="H35" i="3"/>
  <c r="H36" i="3" s="1"/>
  <c r="H60" i="3" s="1"/>
  <c r="H62" i="3" s="1"/>
  <c r="I63" i="2"/>
  <c r="J63" i="2"/>
  <c r="G55" i="4" l="1"/>
  <c r="G56" i="4" s="1"/>
  <c r="I39" i="2"/>
  <c r="I40" i="2" s="1"/>
  <c r="I41" i="2" s="1"/>
  <c r="I65" i="2" s="1"/>
  <c r="H40" i="2"/>
  <c r="J39" i="2"/>
  <c r="J40" i="2" s="1"/>
  <c r="J41" i="2" s="1"/>
  <c r="J65" i="2" s="1"/>
  <c r="H41" i="2" l="1"/>
  <c r="H65" i="2" s="1"/>
  <c r="H67" i="2" s="1"/>
  <c r="I67" i="2"/>
  <c r="I88" i="2"/>
  <c r="I90" i="2" s="1"/>
  <c r="J67" i="2"/>
  <c r="J88" i="2"/>
  <c r="J90" i="2" s="1"/>
  <c r="G57" i="4" l="1"/>
  <c r="G81" i="4" s="1"/>
  <c r="G102" i="4" s="1"/>
  <c r="G104" i="4" s="1"/>
  <c r="H79" i="3"/>
  <c r="H81" i="3" s="1"/>
  <c r="I79" i="3"/>
  <c r="I81" i="3" s="1"/>
  <c r="H88" i="2" l="1"/>
  <c r="H90" i="2" s="1"/>
  <c r="G83" i="4"/>
</calcChain>
</file>

<file path=xl/sharedStrings.xml><?xml version="1.0" encoding="utf-8"?>
<sst xmlns="http://schemas.openxmlformats.org/spreadsheetml/2006/main" count="934" uniqueCount="281">
  <si>
    <t>pounds</t>
  </si>
  <si>
    <t>$ / cwt</t>
  </si>
  <si>
    <t>$ / head</t>
  </si>
  <si>
    <t>years</t>
  </si>
  <si>
    <t>per head</t>
  </si>
  <si>
    <t>Price</t>
  </si>
  <si>
    <t>head</t>
  </si>
  <si>
    <t>Feed</t>
  </si>
  <si>
    <t>Price per Unit Purchased</t>
  </si>
  <si>
    <t/>
  </si>
  <si>
    <t>Labor</t>
  </si>
  <si>
    <t>Veterinary and Medical</t>
  </si>
  <si>
    <t>Depreciable Input Costs</t>
  </si>
  <si>
    <t>Annual Repairs</t>
  </si>
  <si>
    <t>Repairs</t>
  </si>
  <si>
    <t>Interest</t>
  </si>
  <si>
    <t>Operations Interest Rate</t>
  </si>
  <si>
    <t>Opportunity Rate</t>
  </si>
  <si>
    <t>Real Estate Tax</t>
  </si>
  <si>
    <t>per year</t>
  </si>
  <si>
    <t>Annual Insurance Premium</t>
  </si>
  <si>
    <t>Professional Fees</t>
  </si>
  <si>
    <t>Annual Management Charge</t>
  </si>
  <si>
    <t>Other</t>
  </si>
  <si>
    <t>head/year</t>
  </si>
  <si>
    <t>Non-Feed Input Costs</t>
  </si>
  <si>
    <t>Cost per Year</t>
  </si>
  <si>
    <t>As Fed Price</t>
  </si>
  <si>
    <t>Income</t>
  </si>
  <si>
    <t>Weight</t>
  </si>
  <si>
    <t>Total</t>
  </si>
  <si>
    <t>per cwt</t>
  </si>
  <si>
    <t>Gross Income</t>
  </si>
  <si>
    <t>Variable Costs</t>
  </si>
  <si>
    <t>$ per head</t>
  </si>
  <si>
    <t>Total Feed</t>
  </si>
  <si>
    <t>Operations Interest</t>
  </si>
  <si>
    <t>Total Variable Costs</t>
  </si>
  <si>
    <t>Depreciables Input Costs</t>
  </si>
  <si>
    <t>Real Estate Opportunity</t>
  </si>
  <si>
    <t>Insurance</t>
  </si>
  <si>
    <t>Management</t>
  </si>
  <si>
    <t>Total Overhead and Ownership</t>
  </si>
  <si>
    <t>Number</t>
  </si>
  <si>
    <t>NonFeed</t>
  </si>
  <si>
    <t>Depreciation</t>
  </si>
  <si>
    <t>Other Variable</t>
  </si>
  <si>
    <t>Allocation</t>
  </si>
  <si>
    <t>Total Other</t>
  </si>
  <si>
    <t>Total Ownership</t>
  </si>
  <si>
    <t>Total Overhead</t>
  </si>
  <si>
    <t>Overhead Costs</t>
  </si>
  <si>
    <t>days</t>
  </si>
  <si>
    <t>Overhead and Management</t>
  </si>
  <si>
    <r>
      <rPr>
        <b/>
        <sz val="10"/>
        <color theme="1"/>
        <rFont val="Arial"/>
        <family val="2"/>
      </rPr>
      <t>Oppor-</t>
    </r>
    <r>
      <rPr>
        <b/>
        <u/>
        <sz val="10"/>
        <color theme="1"/>
        <rFont val="Arial"/>
        <family val="2"/>
      </rPr>
      <t>tunity</t>
    </r>
  </si>
  <si>
    <t>Amount</t>
  </si>
  <si>
    <t>Total Animals Purchased</t>
  </si>
  <si>
    <t>Budget Inputs</t>
  </si>
  <si>
    <r>
      <t xml:space="preserve">Fed Unit </t>
    </r>
    <r>
      <rPr>
        <sz val="10"/>
        <color theme="1"/>
        <rFont val="Arial"/>
        <family val="2"/>
      </rPr>
      <t>(tons, lbs. etc)</t>
    </r>
  </si>
  <si>
    <t>all animals</t>
  </si>
  <si>
    <t>per animal</t>
  </si>
  <si>
    <t>Breeding Costs</t>
  </si>
  <si>
    <t>Per Animal or Total</t>
  </si>
  <si>
    <t>total</t>
  </si>
  <si>
    <t>Other Variables</t>
  </si>
  <si>
    <t>head @</t>
  </si>
  <si>
    <t>Net Expense</t>
  </si>
  <si>
    <t>Amount Fed per Year</t>
  </si>
  <si>
    <t>Animal Purchases</t>
  </si>
  <si>
    <t>(From Replacement Spreadsheet)</t>
  </si>
  <si>
    <t>Total Costs</t>
  </si>
  <si>
    <t>Breeding Herd</t>
  </si>
  <si>
    <t>Herd size</t>
  </si>
  <si>
    <t>Herd Total</t>
  </si>
  <si>
    <t>Cull Bull Sales</t>
  </si>
  <si>
    <t>Bulls</t>
  </si>
  <si>
    <t>Bulls Needed</t>
  </si>
  <si>
    <t>Bull(s)</t>
  </si>
  <si>
    <t>Bull Purchase Price</t>
  </si>
  <si>
    <t>Bull use (years)</t>
  </si>
  <si>
    <t>Bull Death Loss Rate</t>
  </si>
  <si>
    <t>Cull Bull Marketing</t>
  </si>
  <si>
    <t>(This amount is the "Net Expenses" from the "Bulls" tab)</t>
  </si>
  <si>
    <t>Bull Feed</t>
  </si>
  <si>
    <t>Cull Cow Sales</t>
  </si>
  <si>
    <t>Cows</t>
  </si>
  <si>
    <t>Cows Culled per Year</t>
  </si>
  <si>
    <t>Cow Deaths per year</t>
  </si>
  <si>
    <t>Cull Cow Marketing</t>
  </si>
  <si>
    <t>Cow Feed</t>
  </si>
  <si>
    <t>Per Cow</t>
  </si>
  <si>
    <t>Replacement Heifer Feed</t>
  </si>
  <si>
    <t>Weaned Calf Marketing</t>
  </si>
  <si>
    <t>Per Calf Sold</t>
  </si>
  <si>
    <t>Calves Weaned</t>
  </si>
  <si>
    <t>Variable Cash Costs</t>
  </si>
  <si>
    <t>Revenue</t>
  </si>
  <si>
    <t>Non-Cash Costs</t>
  </si>
  <si>
    <t>Cash Ownership</t>
  </si>
  <si>
    <t>Real Estate</t>
  </si>
  <si>
    <t>Livestock</t>
  </si>
  <si>
    <t>Average Cow Value</t>
  </si>
  <si>
    <t>Total Fixed Cash Costs</t>
  </si>
  <si>
    <t>Total Variable Cash Costs</t>
  </si>
  <si>
    <t>Net Cash Income</t>
  </si>
  <si>
    <t>Total Non-Cash Costs</t>
  </si>
  <si>
    <t>Net Total Income</t>
  </si>
  <si>
    <t>Total Cash and Non-Cash</t>
  </si>
  <si>
    <t>Fixed Cash Costs</t>
  </si>
  <si>
    <t>Gross Revenue</t>
  </si>
  <si>
    <t>Total Cash Costs</t>
  </si>
  <si>
    <t>Total Cash Costs on Depreciables</t>
  </si>
  <si>
    <t>Opportunity</t>
  </si>
  <si>
    <t>Depreciable Assets</t>
  </si>
  <si>
    <t>Depreciables Costs</t>
  </si>
  <si>
    <t>Real Estate Value*</t>
  </si>
  <si>
    <t>* If cattle are grazed on owned land, either the value of the land and associated taxes or the grazing fees for that land should be included so costs are not double counted. If grazing fees are used to calculate costs when land is owned, only the cost of  and taxes on non-grazing real estate should be included as an overhead cost. A calving shed is an example of non-grazing real estate.</t>
  </si>
  <si>
    <t>Calculations: Operations interest rate times feed and other variable expenses except marketing divided by two.</t>
  </si>
  <si>
    <t>Operations interest rate times feed and other variable expenses except marketing divided by two.</t>
  </si>
  <si>
    <t>Investment rate times livestock value</t>
  </si>
  <si>
    <t>Investment rate times real estate value</t>
  </si>
  <si>
    <t>*The number of replacement heifers assumes constant herd size.</t>
  </si>
  <si>
    <t>Current Value</t>
  </si>
  <si>
    <t>Future Value</t>
  </si>
  <si>
    <t>Unit</t>
  </si>
  <si>
    <t>Feed Costs</t>
  </si>
  <si>
    <t>Days Fed</t>
  </si>
  <si>
    <t>Weaned Steer Price</t>
  </si>
  <si>
    <t>Weaned Heifer Price</t>
  </si>
  <si>
    <t>Steer Weaning Weight</t>
  </si>
  <si>
    <t>Heifer Weaning Weight</t>
  </si>
  <si>
    <t>Weaned Steer Value</t>
  </si>
  <si>
    <t>Weaned Heifer Value</t>
  </si>
  <si>
    <t>Steer Calves Retained</t>
  </si>
  <si>
    <t>Heifer Calves Retained</t>
  </si>
  <si>
    <t>Cull Bull Price</t>
  </si>
  <si>
    <t>Cull Bull Weight</t>
  </si>
  <si>
    <t>Head*</t>
  </si>
  <si>
    <t>Replacements Purchased</t>
  </si>
  <si>
    <t>Cull Replacement Sales</t>
  </si>
  <si>
    <t xml:space="preserve">Breeding Herd Cash Budget </t>
  </si>
  <si>
    <t xml:space="preserve">Bull Budget </t>
  </si>
  <si>
    <t xml:space="preserve">Replacement Budget </t>
  </si>
  <si>
    <t>Days</t>
  </si>
  <si>
    <t>Total Non-feed</t>
  </si>
  <si>
    <t>Name</t>
  </si>
  <si>
    <t>Extra Heifers Retained for Breeding that Will Not Be Used as Replacements</t>
  </si>
  <si>
    <t>Number of Replacements Needed</t>
  </si>
  <si>
    <t>Per Calf</t>
  </si>
  <si>
    <t>Animals Purchased</t>
  </si>
  <si>
    <r>
      <t>Depre-</t>
    </r>
    <r>
      <rPr>
        <b/>
        <u/>
        <sz val="10"/>
        <color theme="1"/>
        <rFont val="Arial"/>
        <family val="2"/>
      </rPr>
      <t>ciation</t>
    </r>
  </si>
  <si>
    <r>
      <t>Oppor-</t>
    </r>
    <r>
      <rPr>
        <b/>
        <u/>
        <sz val="10"/>
        <color theme="1"/>
        <rFont val="Arial"/>
        <family val="2"/>
      </rPr>
      <t>tunity</t>
    </r>
  </si>
  <si>
    <r>
      <t xml:space="preserve">Amount </t>
    </r>
    <r>
      <rPr>
        <b/>
        <u/>
        <sz val="10"/>
        <color theme="1"/>
        <rFont val="Arial"/>
        <family val="2"/>
      </rPr>
      <t>per Year</t>
    </r>
  </si>
  <si>
    <r>
      <t xml:space="preserve">Per Animal </t>
    </r>
    <r>
      <rPr>
        <b/>
        <u/>
        <sz val="10"/>
        <color theme="1"/>
        <rFont val="Arial"/>
        <family val="2"/>
      </rPr>
      <t>or Total</t>
    </r>
  </si>
  <si>
    <t>Replacement Females Purchased</t>
  </si>
  <si>
    <t>Replacement Female Cost (if applicable)</t>
  </si>
  <si>
    <t>Breeding Females</t>
  </si>
  <si>
    <t>Calves</t>
  </si>
  <si>
    <t>Steers</t>
  </si>
  <si>
    <t>Retained after Weaning</t>
  </si>
  <si>
    <t>End Weight</t>
  </si>
  <si>
    <t>Death Loss</t>
  </si>
  <si>
    <t>percent</t>
  </si>
  <si>
    <t>Market Price</t>
  </si>
  <si>
    <t>Heifers</t>
  </si>
  <si>
    <t>Retained for Grazing</t>
  </si>
  <si>
    <t>Placed on Feed</t>
  </si>
  <si>
    <r>
      <t xml:space="preserve">Priced Unit </t>
    </r>
    <r>
      <rPr>
        <sz val="10"/>
        <color theme="1"/>
        <rFont val="Arial"/>
        <family val="2"/>
      </rPr>
      <t>(tons, lbs. etc)</t>
    </r>
  </si>
  <si>
    <t>Fed Unit per Priced Unit</t>
  </si>
  <si>
    <t>Feedlot Marketing</t>
  </si>
  <si>
    <t>$ per cwt</t>
  </si>
  <si>
    <t>It is assumed that herd size remains stationary so replacements will equal cow culls and cow deaths. If too few replacements are purchased, the worksheet automatically retains heifers.</t>
  </si>
  <si>
    <t>Bull Purchases</t>
  </si>
  <si>
    <t>Herd</t>
  </si>
  <si>
    <t>Stocker</t>
  </si>
  <si>
    <t>Feeder</t>
  </si>
  <si>
    <t>Basis</t>
  </si>
  <si>
    <t>Wintered</t>
  </si>
  <si>
    <t>Stockers</t>
  </si>
  <si>
    <t>Weaned Steers</t>
  </si>
  <si>
    <t>Weaned Heifers</t>
  </si>
  <si>
    <t>Stocker Steers</t>
  </si>
  <si>
    <t>Stocker Heifers</t>
  </si>
  <si>
    <t>Fed Steers</t>
  </si>
  <si>
    <t>Fed Heifers</t>
  </si>
  <si>
    <t>Replacement Females</t>
  </si>
  <si>
    <t>Feed Calc</t>
  </si>
  <si>
    <t>$ for all</t>
  </si>
  <si>
    <t>Cull Replacement Marketing</t>
  </si>
  <si>
    <t>Feedlot</t>
  </si>
  <si>
    <t>Estimated Weaning Rate</t>
  </si>
  <si>
    <t>Replacements Culled</t>
  </si>
  <si>
    <t>calves</t>
  </si>
  <si>
    <t>heifers available</t>
  </si>
  <si>
    <t>Weaned Calf Value</t>
  </si>
  <si>
    <t>Cull Cow Value</t>
  </si>
  <si>
    <t>Retained Heifer Value</t>
  </si>
  <si>
    <t>Cull Replacement Value</t>
  </si>
  <si>
    <t>Purchased Replacements Value</t>
  </si>
  <si>
    <t>Cull Bull Value</t>
  </si>
  <si>
    <t>Breeding Herd Total Value</t>
  </si>
  <si>
    <t>stocker steer survivors</t>
  </si>
  <si>
    <t>wintered steer deaths</t>
  </si>
  <si>
    <t>wintered heifer deaths</t>
  </si>
  <si>
    <t>wintered steer survivors</t>
  </si>
  <si>
    <t>wintered heifer survivors</t>
  </si>
  <si>
    <t>stocker steer deaths</t>
  </si>
  <si>
    <t>stocker heifer deaths</t>
  </si>
  <si>
    <t>stocker heifer survivors</t>
  </si>
  <si>
    <t>feeder steer deaths</t>
  </si>
  <si>
    <t>feeder heifer deaths</t>
  </si>
  <si>
    <t>fed heifer survivors</t>
  </si>
  <si>
    <t>fed steer survivors</t>
  </si>
  <si>
    <t>(&lt;10)</t>
  </si>
  <si>
    <t>(&gt;=10)</t>
  </si>
  <si>
    <t>(0-100)</t>
  </si>
  <si>
    <t>Culled Replacement Heifer Weight When Sold</t>
  </si>
  <si>
    <t>Culled Replacement Heifer Selling Price</t>
  </si>
  <si>
    <t>Cost of Marketing Culled Replacement Heifers</t>
  </si>
  <si>
    <t>Is This Cost Per Animal or for All Animals?</t>
  </si>
  <si>
    <t>Allocation Percentage</t>
  </si>
  <si>
    <t>Breeding Herd (Optional)</t>
  </si>
  <si>
    <t>Stocker (Optional)</t>
  </si>
  <si>
    <t>Feedlot (Optional)</t>
  </si>
  <si>
    <t>Future Value Horizon</t>
  </si>
  <si>
    <t>Cow Cull Weight</t>
  </si>
  <si>
    <t>Non-Fed Cull Cow Price</t>
  </si>
  <si>
    <t>cull cow deaths</t>
  </si>
  <si>
    <t>cull cows surviving</t>
  </si>
  <si>
    <t>Cull Cow</t>
  </si>
  <si>
    <t>Cull Cow Value Increase</t>
  </si>
  <si>
    <t>Feeders Value Increase</t>
  </si>
  <si>
    <t>Stockers Value Increase</t>
  </si>
  <si>
    <t>Wintered Calves Value Increase</t>
  </si>
  <si>
    <t>Cull Cows Retained</t>
  </si>
  <si>
    <t>Cull Cows Sold</t>
  </si>
  <si>
    <t>Fed Cull Cow</t>
  </si>
  <si>
    <t>Fed Cull Cow (Optional)</t>
  </si>
  <si>
    <t>Weaned Calf Wintering (Optional)</t>
  </si>
  <si>
    <t>Fed Cull Cow Sales</t>
  </si>
  <si>
    <t>Number Sold</t>
  </si>
  <si>
    <t>Market Cost</t>
  </si>
  <si>
    <t>Marketing Cost per Hd</t>
  </si>
  <si>
    <t>System Budget</t>
  </si>
  <si>
    <t>Total Net Income</t>
  </si>
  <si>
    <t>Total Feed Costs</t>
  </si>
  <si>
    <t>Stocker Marketing</t>
  </si>
  <si>
    <t>steers</t>
  </si>
  <si>
    <t>Prairie Hay</t>
  </si>
  <si>
    <t>ton</t>
  </si>
  <si>
    <t>lbs</t>
  </si>
  <si>
    <t>Alfalfa</t>
  </si>
  <si>
    <t>DDG Cubes</t>
  </si>
  <si>
    <t>Salt and Mineral</t>
  </si>
  <si>
    <t>Silage</t>
  </si>
  <si>
    <t>Corn</t>
  </si>
  <si>
    <t>bu</t>
  </si>
  <si>
    <t>day</t>
  </si>
  <si>
    <t>salt and mineral</t>
  </si>
  <si>
    <t>Corn Stalks</t>
  </si>
  <si>
    <t>Vehicles</t>
  </si>
  <si>
    <t>v150416</t>
  </si>
  <si>
    <t>ounce</t>
  </si>
  <si>
    <t xml:space="preserve">Breeding Herd </t>
  </si>
  <si>
    <t>Creep Feed</t>
  </si>
  <si>
    <t>1 month</t>
  </si>
  <si>
    <t xml:space="preserve">Fuel / transportation </t>
  </si>
  <si>
    <t>Fencing</t>
  </si>
  <si>
    <t>Barn</t>
  </si>
  <si>
    <t>Wet Distiller's Grain</t>
  </si>
  <si>
    <t xml:space="preserve">Pasture </t>
  </si>
  <si>
    <t>Pre-condition Calves</t>
  </si>
  <si>
    <t>Pre-Conditioned calves (Optional)</t>
  </si>
  <si>
    <t>Pre-conditioned Calves</t>
  </si>
  <si>
    <t>Pre-conditioned Steers</t>
  </si>
  <si>
    <t>Pre-conditioned Heifers</t>
  </si>
  <si>
    <t>Machinery (Livestock)</t>
  </si>
  <si>
    <t>300 head - Southwest NE</t>
  </si>
  <si>
    <t>updated September, 2021</t>
  </si>
  <si>
    <t>Marketing Adjustment -Backgrounding</t>
  </si>
  <si>
    <t>Backgrounded Calf Marketing -Adj.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</si>
</sst>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0.00_)"/>
    <numFmt numFmtId="168" formatCode="0.0000000"/>
  </numFmts>
  <fonts count="25">
    <font>
      <sz val="10"/>
      <color theme="1"/>
      <name val="Arial"/>
      <family val="2"/>
    </font>
    <font>
      <sz val="10"/>
      <color theme="1"/>
      <name val="Arial"/>
      <family val="2"/>
    </font>
    <font>
      <b/>
      <sz val="10"/>
      <color theme="0"/>
      <name val="Arial"/>
      <family val="2"/>
    </font>
    <font>
      <b/>
      <sz val="10"/>
      <color theme="1"/>
      <name val="Arial"/>
      <family val="2"/>
    </font>
    <font>
      <sz val="10"/>
      <color theme="0"/>
      <name val="Arial"/>
      <family val="2"/>
    </font>
    <font>
      <sz val="14"/>
      <color theme="1"/>
      <name val="Arial"/>
      <family val="2"/>
    </font>
    <font>
      <b/>
      <sz val="12"/>
      <color theme="0"/>
      <name val="Arial"/>
      <family val="2"/>
    </font>
    <font>
      <b/>
      <sz val="14"/>
      <color theme="0"/>
      <name val="Arial"/>
      <family val="2"/>
    </font>
    <font>
      <b/>
      <u/>
      <sz val="10"/>
      <color theme="1"/>
      <name val="Arial"/>
      <family val="2"/>
    </font>
    <font>
      <sz val="10"/>
      <name val="Arial"/>
      <family val="2"/>
    </font>
    <font>
      <u/>
      <sz val="10"/>
      <color theme="1"/>
      <name val="Arial"/>
      <family val="2"/>
    </font>
    <font>
      <sz val="24"/>
      <color theme="1"/>
      <name val="Arial"/>
      <family val="2"/>
    </font>
    <font>
      <sz val="10"/>
      <color theme="0" tint="-4.9989318521683403E-2"/>
      <name val="Arial"/>
      <family val="2"/>
    </font>
    <font>
      <sz val="9"/>
      <color theme="1"/>
      <name val="Arial"/>
      <family val="2"/>
    </font>
    <font>
      <sz val="10"/>
      <color theme="3" tint="0.39997558519241921"/>
      <name val="Arial"/>
      <family val="2"/>
    </font>
    <font>
      <b/>
      <sz val="10"/>
      <color theme="3" tint="0.39997558519241921"/>
      <name val="Arial"/>
      <family val="2"/>
    </font>
    <font>
      <sz val="8"/>
      <color theme="4"/>
      <name val="Arial"/>
      <family val="2"/>
    </font>
    <font>
      <b/>
      <sz val="10"/>
      <color rgb="FFFFFF00"/>
      <name val="Arial"/>
      <family val="2"/>
    </font>
    <font>
      <sz val="16"/>
      <color rgb="FFFFFF00"/>
      <name val="Arial"/>
      <family val="2"/>
    </font>
    <font>
      <b/>
      <sz val="10"/>
      <color rgb="FFFF0000"/>
      <name val="Arial"/>
      <family val="2"/>
    </font>
    <font>
      <b/>
      <sz val="11"/>
      <color rgb="FFFF0000"/>
      <name val="Arial"/>
      <family val="2"/>
    </font>
    <font>
      <sz val="10"/>
      <name val="SWISS"/>
    </font>
    <font>
      <sz val="12"/>
      <color theme="1"/>
      <name val="Arial"/>
      <family val="2"/>
    </font>
    <font>
      <sz val="10"/>
      <color rgb="FFFF0000"/>
      <name val="Arial"/>
      <family val="2"/>
    </font>
    <font>
      <b/>
      <sz val="10"/>
      <name val="Arial"/>
      <family val="2"/>
    </font>
  </fonts>
  <fills count="14">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tint="-0.499984740745262"/>
        <bgColor indexed="64"/>
      </patternFill>
    </fill>
    <fill>
      <patternFill patternType="solid">
        <fgColor theme="0" tint="-0.34998626667073579"/>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theme="0"/>
      </left>
      <right/>
      <top style="medium">
        <color indexed="64"/>
      </top>
      <bottom style="medium">
        <color indexed="64"/>
      </bottom>
      <diagonal/>
    </border>
    <border>
      <left style="medium">
        <color indexed="64"/>
      </left>
      <right style="thin">
        <color theme="0"/>
      </right>
      <top style="medium">
        <color indexed="64"/>
      </top>
      <bottom/>
      <diagonal/>
    </border>
    <border>
      <left/>
      <right style="thin">
        <color indexed="64"/>
      </right>
      <top/>
      <bottom style="double">
        <color indexed="64"/>
      </bottom>
      <diagonal/>
    </border>
    <border>
      <left style="medium">
        <color indexed="64"/>
      </left>
      <right style="thin">
        <color rgb="FF00B0F0"/>
      </right>
      <top style="thin">
        <color rgb="FF00B0F0"/>
      </top>
      <bottom style="thin">
        <color rgb="FF00B0F0"/>
      </bottom>
      <diagonal/>
    </border>
    <border>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theme="0"/>
      </right>
      <top style="medium">
        <color indexed="64"/>
      </top>
      <bottom style="medium">
        <color indexed="64"/>
      </bottom>
      <diagonal/>
    </border>
    <border>
      <left style="thin">
        <color theme="0"/>
      </left>
      <right/>
      <top style="medium">
        <color indexed="64"/>
      </top>
      <bottom/>
      <diagonal/>
    </border>
    <border>
      <left style="thin">
        <color indexed="64"/>
      </left>
      <right style="thin">
        <color indexed="64"/>
      </right>
      <top/>
      <bottom style="medium">
        <color indexed="64"/>
      </bottom>
      <diagonal/>
    </border>
    <border>
      <left style="thin">
        <color rgb="FF00B0F0"/>
      </left>
      <right style="thin">
        <color rgb="FF00B0F0"/>
      </right>
      <top style="thin">
        <color rgb="FF00B0F0"/>
      </top>
      <bottom style="thin">
        <color rgb="FF00B0F0"/>
      </bottom>
      <diagonal/>
    </border>
    <border>
      <left style="thin">
        <color indexed="64"/>
      </left>
      <right/>
      <top/>
      <bottom style="thin">
        <color rgb="FF00B0F0"/>
      </bottom>
      <diagonal/>
    </border>
    <border>
      <left style="thin">
        <color indexed="64"/>
      </left>
      <right/>
      <top style="thin">
        <color rgb="FF00B0F0"/>
      </top>
      <bottom/>
      <diagonal/>
    </border>
    <border>
      <left/>
      <right style="thin">
        <color indexed="64"/>
      </right>
      <top/>
      <bottom/>
      <diagonal/>
    </border>
    <border>
      <left/>
      <right style="thin">
        <color theme="0"/>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theme="0"/>
      </left>
      <right style="medium">
        <color indexed="64"/>
      </right>
      <top style="medium">
        <color indexed="64"/>
      </top>
      <bottom style="medium">
        <color indexed="64"/>
      </bottom>
      <diagonal/>
    </border>
    <border>
      <left style="thin">
        <color rgb="FF00B0F0"/>
      </left>
      <right/>
      <top/>
      <bottom/>
      <diagonal/>
    </border>
    <border>
      <left style="thin">
        <color theme="0"/>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rgb="FF00B0F0"/>
      </top>
      <bottom style="thin">
        <color rgb="FF00B0F0"/>
      </bottom>
      <diagonal/>
    </border>
    <border>
      <left style="thin">
        <color rgb="FF00B0F0"/>
      </left>
      <right style="thin">
        <color rgb="FF00B0F0"/>
      </right>
      <top/>
      <bottom style="thin">
        <color rgb="FF00B0F0"/>
      </bottom>
      <diagonal/>
    </border>
    <border>
      <left/>
      <right style="thin">
        <color indexed="64"/>
      </right>
      <top style="thin">
        <color indexed="64"/>
      </top>
      <bottom style="medium">
        <color indexed="64"/>
      </bottom>
      <diagonal/>
    </border>
    <border>
      <left style="medium">
        <color indexed="64"/>
      </left>
      <right style="thin">
        <color theme="0"/>
      </right>
      <top/>
      <bottom style="medium">
        <color indexed="64"/>
      </bottom>
      <diagonal/>
    </border>
    <border>
      <left style="thin">
        <color theme="0"/>
      </left>
      <right style="medium">
        <color indexed="64"/>
      </right>
      <top style="medium">
        <color indexed="64"/>
      </top>
      <bottom style="thin">
        <color theme="0"/>
      </bottom>
      <diagonal/>
    </border>
    <border>
      <left style="thin">
        <color theme="0"/>
      </left>
      <right/>
      <top style="medium">
        <color indexed="64"/>
      </top>
      <bottom style="thin">
        <color theme="0"/>
      </bottom>
      <diagonal/>
    </border>
    <border>
      <left style="thin">
        <color theme="0"/>
      </left>
      <right style="thin">
        <color theme="0"/>
      </right>
      <top style="thin">
        <color theme="0"/>
      </top>
      <bottom style="medium">
        <color indexed="64"/>
      </bottom>
      <diagonal/>
    </border>
    <border>
      <left style="thin">
        <color theme="0"/>
      </left>
      <right style="thin">
        <color theme="0"/>
      </right>
      <top style="medium">
        <color indexed="64"/>
      </top>
      <bottom style="medium">
        <color indexed="64"/>
      </bottom>
      <diagonal/>
    </border>
    <border>
      <left style="thin">
        <color theme="0"/>
      </left>
      <right/>
      <top/>
      <bottom style="medium">
        <color indexed="64"/>
      </bottom>
      <diagonal/>
    </border>
    <border>
      <left style="thin">
        <color theme="0"/>
      </left>
      <right style="medium">
        <color indexed="64"/>
      </right>
      <top/>
      <bottom style="medium">
        <color indexed="64"/>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style="medium">
        <color indexed="64"/>
      </left>
      <right style="thin">
        <color theme="0"/>
      </right>
      <top style="medium">
        <color indexed="64"/>
      </top>
      <bottom style="thin">
        <color theme="0"/>
      </bottom>
      <diagonal/>
    </border>
    <border>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double">
        <color indexed="64"/>
      </top>
      <bottom/>
      <diagonal/>
    </border>
    <border>
      <left/>
      <right style="thin">
        <color indexed="64"/>
      </right>
      <top style="medium">
        <color indexed="64"/>
      </top>
      <bottom style="double">
        <color indexed="64"/>
      </bottom>
      <diagonal/>
    </border>
    <border>
      <left style="medium">
        <color indexed="64"/>
      </left>
      <right style="thin">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ck">
        <color theme="0"/>
      </left>
      <right/>
      <top/>
      <bottom/>
      <diagonal/>
    </border>
    <border>
      <left/>
      <right style="medium">
        <color indexed="64"/>
      </right>
      <top style="medium">
        <color indexed="64"/>
      </top>
      <bottom style="thin">
        <color theme="0"/>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167" fontId="21" fillId="0" borderId="0"/>
    <xf numFmtId="0" fontId="9" fillId="0" borderId="0"/>
  </cellStyleXfs>
  <cellXfs count="847">
    <xf numFmtId="0" fontId="0" fillId="0" borderId="0" xfId="0"/>
    <xf numFmtId="0" fontId="0" fillId="4" borderId="19" xfId="0" applyFill="1" applyBorder="1" applyAlignment="1" applyProtection="1">
      <alignment horizontal="center"/>
      <protection locked="0"/>
    </xf>
    <xf numFmtId="164" fontId="0" fillId="4" borderId="5" xfId="1" applyNumberFormat="1" applyFont="1" applyFill="1" applyBorder="1" applyProtection="1">
      <protection locked="0"/>
    </xf>
    <xf numFmtId="164" fontId="0" fillId="4" borderId="29" xfId="1" applyNumberFormat="1" applyFont="1" applyFill="1" applyBorder="1" applyProtection="1">
      <protection locked="0"/>
    </xf>
    <xf numFmtId="0" fontId="7" fillId="2" borderId="6" xfId="0" applyFont="1" applyFill="1" applyBorder="1" applyProtection="1"/>
    <xf numFmtId="0" fontId="0" fillId="3" borderId="0" xfId="0" applyFill="1" applyProtection="1"/>
    <xf numFmtId="0" fontId="0" fillId="0" borderId="0" xfId="0" applyProtection="1"/>
    <xf numFmtId="0" fontId="0" fillId="2" borderId="7" xfId="0" applyFill="1" applyBorder="1" applyProtection="1"/>
    <xf numFmtId="0" fontId="0" fillId="2" borderId="8" xfId="0" applyFill="1" applyBorder="1" applyProtection="1"/>
    <xf numFmtId="0" fontId="0" fillId="3" borderId="10" xfId="0" applyFill="1" applyBorder="1" applyProtection="1"/>
    <xf numFmtId="0" fontId="0" fillId="3" borderId="13" xfId="0" applyFill="1" applyBorder="1" applyProtection="1"/>
    <xf numFmtId="0" fontId="3" fillId="3" borderId="27" xfId="0" applyFont="1" applyFill="1" applyBorder="1" applyAlignment="1" applyProtection="1">
      <alignment horizontal="center" wrapText="1"/>
    </xf>
    <xf numFmtId="0" fontId="3" fillId="3" borderId="28" xfId="0" applyFont="1" applyFill="1" applyBorder="1" applyAlignment="1" applyProtection="1">
      <alignment horizontal="center" wrapText="1"/>
    </xf>
    <xf numFmtId="9" fontId="0" fillId="0" borderId="1" xfId="2" applyFont="1" applyFill="1" applyBorder="1" applyProtection="1"/>
    <xf numFmtId="0" fontId="7" fillId="2" borderId="30" xfId="0" applyFont="1" applyFill="1" applyBorder="1" applyProtection="1"/>
    <xf numFmtId="0" fontId="0" fillId="2" borderId="32" xfId="0" applyFill="1" applyBorder="1" applyProtection="1"/>
    <xf numFmtId="0" fontId="0" fillId="2" borderId="33" xfId="0" applyFill="1" applyBorder="1" applyProtection="1"/>
    <xf numFmtId="0" fontId="3" fillId="3" borderId="34" xfId="0" applyFont="1" applyFill="1" applyBorder="1" applyAlignment="1" applyProtection="1">
      <alignment horizontal="center" wrapText="1"/>
    </xf>
    <xf numFmtId="0" fontId="7" fillId="2" borderId="22" xfId="0" applyFont="1" applyFill="1" applyBorder="1" applyProtection="1"/>
    <xf numFmtId="0" fontId="0" fillId="2" borderId="23" xfId="0" applyFill="1" applyBorder="1" applyProtection="1"/>
    <xf numFmtId="0" fontId="0" fillId="2" borderId="24" xfId="0" applyFill="1" applyBorder="1" applyProtection="1"/>
    <xf numFmtId="0" fontId="2" fillId="2" borderId="23" xfId="0" applyFont="1" applyFill="1" applyBorder="1" applyAlignment="1">
      <alignment horizontal="right"/>
    </xf>
    <xf numFmtId="0" fontId="0" fillId="3" borderId="0" xfId="0" applyFill="1"/>
    <xf numFmtId="0" fontId="5" fillId="3" borderId="0" xfId="0" applyFont="1" applyFill="1"/>
    <xf numFmtId="0" fontId="0" fillId="3" borderId="0" xfId="0" applyFill="1" applyBorder="1"/>
    <xf numFmtId="0" fontId="3" fillId="3" borderId="0" xfId="0" applyFont="1" applyFill="1" applyBorder="1" applyAlignment="1">
      <alignment horizontal="right"/>
    </xf>
    <xf numFmtId="0" fontId="3" fillId="3" borderId="0" xfId="0" applyFont="1" applyFill="1" applyBorder="1"/>
    <xf numFmtId="0" fontId="0" fillId="3" borderId="9" xfId="0" applyFont="1" applyFill="1" applyBorder="1"/>
    <xf numFmtId="2" fontId="3" fillId="3" borderId="0" xfId="0" applyNumberFormat="1" applyFont="1" applyFill="1" applyBorder="1" applyAlignment="1">
      <alignment horizontal="right"/>
    </xf>
    <xf numFmtId="43" fontId="3" fillId="3" borderId="0" xfId="1" applyFont="1" applyFill="1" applyBorder="1" applyAlignment="1">
      <alignment horizontal="right"/>
    </xf>
    <xf numFmtId="2" fontId="0" fillId="3" borderId="38" xfId="0" applyNumberFormat="1" applyFill="1" applyBorder="1"/>
    <xf numFmtId="0" fontId="0" fillId="3" borderId="38" xfId="0" applyFill="1" applyBorder="1"/>
    <xf numFmtId="0" fontId="3" fillId="3" borderId="38" xfId="0" applyFont="1" applyFill="1" applyBorder="1" applyAlignment="1">
      <alignment horizontal="right"/>
    </xf>
    <xf numFmtId="43" fontId="0" fillId="3" borderId="38" xfId="1" applyFont="1" applyFill="1" applyBorder="1"/>
    <xf numFmtId="0" fontId="0" fillId="3" borderId="20" xfId="0" applyFill="1" applyBorder="1"/>
    <xf numFmtId="0" fontId="6" fillId="2" borderId="41" xfId="0" applyFont="1" applyFill="1" applyBorder="1"/>
    <xf numFmtId="0" fontId="8" fillId="3" borderId="33" xfId="0" applyFont="1" applyFill="1" applyBorder="1" applyAlignment="1">
      <alignment horizontal="right"/>
    </xf>
    <xf numFmtId="2" fontId="0" fillId="0" borderId="17" xfId="0" applyNumberFormat="1" applyFill="1" applyBorder="1" applyProtection="1"/>
    <xf numFmtId="0" fontId="2" fillId="2" borderId="23" xfId="0" applyFont="1" applyFill="1" applyBorder="1"/>
    <xf numFmtId="0" fontId="8" fillId="3" borderId="0" xfId="0" applyFont="1" applyFill="1" applyBorder="1" applyAlignment="1">
      <alignment horizontal="right"/>
    </xf>
    <xf numFmtId="0" fontId="0" fillId="0" borderId="0" xfId="0"/>
    <xf numFmtId="0" fontId="6" fillId="2" borderId="22" xfId="0" applyFont="1" applyFill="1" applyBorder="1"/>
    <xf numFmtId="0" fontId="4" fillId="2" borderId="23" xfId="0" applyFont="1" applyFill="1" applyBorder="1"/>
    <xf numFmtId="0" fontId="0" fillId="3" borderId="0" xfId="0" applyFill="1"/>
    <xf numFmtId="0" fontId="5" fillId="3" borderId="0" xfId="0" applyFont="1" applyFill="1"/>
    <xf numFmtId="0" fontId="0" fillId="3" borderId="7" xfId="0" applyFill="1" applyBorder="1"/>
    <xf numFmtId="0" fontId="3" fillId="3" borderId="6" xfId="0" applyFont="1" applyFill="1" applyBorder="1"/>
    <xf numFmtId="0" fontId="3" fillId="3" borderId="7" xfId="0" applyFont="1" applyFill="1" applyBorder="1" applyAlignment="1">
      <alignment horizontal="right"/>
    </xf>
    <xf numFmtId="0" fontId="0" fillId="3" borderId="9" xfId="0" applyFill="1" applyBorder="1"/>
    <xf numFmtId="0" fontId="0" fillId="3" borderId="0" xfId="0" applyFill="1" applyBorder="1"/>
    <xf numFmtId="2" fontId="0" fillId="3" borderId="0" xfId="0" applyNumberFormat="1" applyFill="1" applyBorder="1"/>
    <xf numFmtId="0" fontId="0" fillId="3" borderId="11" xfId="0" applyFill="1" applyBorder="1"/>
    <xf numFmtId="0" fontId="0" fillId="3" borderId="12" xfId="0" applyFill="1" applyBorder="1"/>
    <xf numFmtId="0" fontId="0" fillId="3" borderId="0" xfId="0" applyFill="1" applyAlignment="1">
      <alignment horizontal="right"/>
    </xf>
    <xf numFmtId="0" fontId="3" fillId="3" borderId="9" xfId="0" applyFont="1" applyFill="1" applyBorder="1"/>
    <xf numFmtId="0" fontId="3" fillId="3" borderId="0" xfId="0" applyFont="1" applyFill="1" applyBorder="1" applyAlignment="1">
      <alignment wrapText="1"/>
    </xf>
    <xf numFmtId="164" fontId="0" fillId="3" borderId="0" xfId="1" applyNumberFormat="1" applyFont="1" applyFill="1" applyBorder="1"/>
    <xf numFmtId="43" fontId="0" fillId="3" borderId="0" xfId="1" applyFont="1" applyFill="1" applyBorder="1"/>
    <xf numFmtId="0" fontId="3" fillId="3" borderId="0" xfId="0" applyFont="1" applyFill="1" applyBorder="1" applyAlignment="1">
      <alignment horizontal="right"/>
    </xf>
    <xf numFmtId="0" fontId="3" fillId="3" borderId="12" xfId="0" applyFont="1" applyFill="1" applyBorder="1" applyAlignment="1">
      <alignment horizontal="right"/>
    </xf>
    <xf numFmtId="0" fontId="0" fillId="2" borderId="23" xfId="0" applyFill="1" applyBorder="1"/>
    <xf numFmtId="0" fontId="0" fillId="0" borderId="0" xfId="0" applyFill="1"/>
    <xf numFmtId="0" fontId="0" fillId="0" borderId="0" xfId="0" applyFill="1" applyBorder="1"/>
    <xf numFmtId="0" fontId="5" fillId="0" borderId="0" xfId="0" applyFont="1" applyFill="1"/>
    <xf numFmtId="0" fontId="0" fillId="0" borderId="0" xfId="0" applyFill="1" applyAlignment="1">
      <alignment horizontal="right"/>
    </xf>
    <xf numFmtId="0" fontId="0" fillId="0" borderId="11" xfId="0" applyFill="1" applyBorder="1"/>
    <xf numFmtId="0" fontId="6" fillId="2" borderId="46" xfId="0" applyFont="1" applyFill="1" applyBorder="1"/>
    <xf numFmtId="0" fontId="3" fillId="2" borderId="23" xfId="0" applyFont="1" applyFill="1" applyBorder="1"/>
    <xf numFmtId="0" fontId="0" fillId="0" borderId="0" xfId="0" applyBorder="1"/>
    <xf numFmtId="0" fontId="8" fillId="3" borderId="7" xfId="0" applyFont="1" applyFill="1" applyBorder="1" applyAlignment="1">
      <alignment horizontal="right"/>
    </xf>
    <xf numFmtId="0" fontId="8" fillId="3" borderId="8" xfId="0" applyFont="1" applyFill="1" applyBorder="1" applyAlignment="1">
      <alignment horizontal="right"/>
    </xf>
    <xf numFmtId="0" fontId="0" fillId="3" borderId="6" xfId="0" applyFill="1" applyBorder="1"/>
    <xf numFmtId="0" fontId="8" fillId="3" borderId="32" xfId="0" applyFont="1" applyFill="1" applyBorder="1" applyAlignment="1">
      <alignment horizontal="right"/>
    </xf>
    <xf numFmtId="1" fontId="0" fillId="3" borderId="38" xfId="0" applyNumberFormat="1" applyFill="1" applyBorder="1"/>
    <xf numFmtId="165" fontId="0" fillId="3" borderId="38" xfId="0" applyNumberFormat="1" applyFill="1" applyBorder="1"/>
    <xf numFmtId="0" fontId="0" fillId="3" borderId="51" xfId="0" applyFill="1" applyBorder="1"/>
    <xf numFmtId="0" fontId="8" fillId="3" borderId="38" xfId="0" applyFont="1" applyFill="1" applyBorder="1" applyAlignment="1">
      <alignment horizontal="right"/>
    </xf>
    <xf numFmtId="164" fontId="0" fillId="3" borderId="38" xfId="1" applyNumberFormat="1" applyFont="1" applyFill="1" applyBorder="1"/>
    <xf numFmtId="0" fontId="8" fillId="3" borderId="6" xfId="0" applyFont="1" applyFill="1" applyBorder="1"/>
    <xf numFmtId="0" fontId="8" fillId="3" borderId="9" xfId="0" applyFont="1" applyFill="1" applyBorder="1"/>
    <xf numFmtId="9" fontId="0" fillId="3" borderId="0" xfId="2" applyFont="1" applyFill="1" applyBorder="1"/>
    <xf numFmtId="0" fontId="0" fillId="3" borderId="52" xfId="0" applyFill="1" applyBorder="1"/>
    <xf numFmtId="0" fontId="8" fillId="3" borderId="52" xfId="0" applyFont="1" applyFill="1" applyBorder="1" applyAlignment="1">
      <alignment horizontal="right"/>
    </xf>
    <xf numFmtId="0" fontId="8" fillId="3" borderId="0" xfId="0" applyFont="1" applyFill="1" applyBorder="1" applyAlignment="1">
      <alignment wrapText="1"/>
    </xf>
    <xf numFmtId="9" fontId="0" fillId="3" borderId="0" xfId="2" applyFont="1" applyFill="1" applyBorder="1" applyAlignment="1">
      <alignment wrapText="1"/>
    </xf>
    <xf numFmtId="2" fontId="2" fillId="2" borderId="40" xfId="0" applyNumberFormat="1" applyFont="1" applyFill="1" applyBorder="1" applyAlignment="1">
      <alignment horizontal="right"/>
    </xf>
    <xf numFmtId="43" fontId="0" fillId="3" borderId="0" xfId="1" applyNumberFormat="1" applyFont="1" applyFill="1" applyBorder="1"/>
    <xf numFmtId="0" fontId="0" fillId="0" borderId="12" xfId="0" applyBorder="1"/>
    <xf numFmtId="0" fontId="3" fillId="3" borderId="7" xfId="0" applyFont="1" applyFill="1" applyBorder="1" applyAlignment="1">
      <alignment horizontal="center" wrapText="1"/>
    </xf>
    <xf numFmtId="0" fontId="8" fillId="3" borderId="31" xfId="0" applyFont="1" applyFill="1" applyBorder="1" applyAlignment="1">
      <alignment horizontal="right"/>
    </xf>
    <xf numFmtId="0" fontId="5" fillId="3" borderId="0" xfId="0" applyFont="1" applyFill="1" applyAlignment="1">
      <alignment horizontal="right"/>
    </xf>
    <xf numFmtId="0" fontId="8" fillId="3" borderId="10" xfId="0" applyFont="1" applyFill="1" applyBorder="1" applyAlignment="1">
      <alignment horizontal="right"/>
    </xf>
    <xf numFmtId="164" fontId="3" fillId="3" borderId="0" xfId="0" applyNumberFormat="1" applyFont="1" applyFill="1" applyBorder="1" applyAlignment="1">
      <alignment horizontal="left"/>
    </xf>
    <xf numFmtId="164" fontId="0" fillId="3" borderId="52" xfId="1" applyNumberFormat="1" applyFont="1" applyFill="1" applyBorder="1"/>
    <xf numFmtId="0" fontId="0" fillId="3" borderId="38" xfId="0" applyFont="1" applyFill="1" applyBorder="1"/>
    <xf numFmtId="0" fontId="8" fillId="3" borderId="38" xfId="0" applyFont="1" applyFill="1" applyBorder="1" applyAlignment="1">
      <alignment horizontal="right" wrapText="1"/>
    </xf>
    <xf numFmtId="0" fontId="0" fillId="2" borderId="40" xfId="0" applyFill="1" applyBorder="1"/>
    <xf numFmtId="164" fontId="2" fillId="2" borderId="53" xfId="1" applyNumberFormat="1" applyFont="1" applyFill="1" applyBorder="1" applyAlignment="1">
      <alignment horizontal="right"/>
    </xf>
    <xf numFmtId="0" fontId="0" fillId="2" borderId="22" xfId="0" applyFill="1" applyBorder="1"/>
    <xf numFmtId="43" fontId="0" fillId="2" borderId="22" xfId="0" applyNumberFormat="1" applyFill="1" applyBorder="1"/>
    <xf numFmtId="0" fontId="5" fillId="3" borderId="12" xfId="0" applyFont="1" applyFill="1" applyBorder="1" applyAlignment="1"/>
    <xf numFmtId="0" fontId="3" fillId="3" borderId="0" xfId="0" applyFont="1" applyFill="1" applyAlignment="1" applyProtection="1">
      <alignment wrapText="1"/>
    </xf>
    <xf numFmtId="0" fontId="3" fillId="3" borderId="33" xfId="0" applyFont="1" applyFill="1" applyBorder="1" applyAlignment="1">
      <alignment horizontal="right" wrapText="1"/>
    </xf>
    <xf numFmtId="2" fontId="2" fillId="2" borderId="57" xfId="0" applyNumberFormat="1" applyFont="1" applyFill="1" applyBorder="1" applyAlignment="1">
      <alignment horizontal="right"/>
    </xf>
    <xf numFmtId="0" fontId="0" fillId="5" borderId="0" xfId="0" applyFill="1"/>
    <xf numFmtId="0" fontId="0" fillId="5" borderId="0" xfId="0" applyFill="1" applyBorder="1"/>
    <xf numFmtId="0" fontId="11" fillId="3" borderId="0" xfId="0" applyFont="1" applyFill="1" applyProtection="1"/>
    <xf numFmtId="0" fontId="3" fillId="3" borderId="0" xfId="0" applyFont="1" applyFill="1" applyBorder="1" applyAlignment="1">
      <alignment horizontal="center" wrapText="1"/>
    </xf>
    <xf numFmtId="0" fontId="2" fillId="2" borderId="40" xfId="0" applyFont="1" applyFill="1" applyBorder="1" applyAlignment="1"/>
    <xf numFmtId="0" fontId="2" fillId="2" borderId="23" xfId="0" applyFont="1" applyFill="1" applyBorder="1" applyAlignment="1"/>
    <xf numFmtId="164" fontId="0" fillId="3" borderId="0" xfId="1" applyNumberFormat="1" applyFont="1" applyFill="1"/>
    <xf numFmtId="43" fontId="0" fillId="3" borderId="38" xfId="1" applyNumberFormat="1" applyFont="1" applyFill="1" applyBorder="1"/>
    <xf numFmtId="165" fontId="0" fillId="3" borderId="0" xfId="0" applyNumberFormat="1" applyFill="1" applyBorder="1"/>
    <xf numFmtId="0" fontId="2" fillId="2" borderId="59" xfId="0" applyFont="1" applyFill="1" applyBorder="1" applyAlignment="1">
      <alignment horizontal="center" wrapText="1"/>
    </xf>
    <xf numFmtId="164" fontId="0" fillId="3" borderId="39" xfId="1" applyNumberFormat="1" applyFont="1" applyFill="1" applyBorder="1"/>
    <xf numFmtId="164" fontId="8" fillId="3" borderId="39" xfId="1" applyNumberFormat="1" applyFont="1" applyFill="1" applyBorder="1" applyAlignment="1">
      <alignment horizontal="right"/>
    </xf>
    <xf numFmtId="0" fontId="8" fillId="3" borderId="52" xfId="0" applyFont="1" applyFill="1" applyBorder="1" applyAlignment="1">
      <alignment horizontal="right" wrapText="1"/>
    </xf>
    <xf numFmtId="1" fontId="0" fillId="3" borderId="38" xfId="0" applyNumberFormat="1" applyFont="1" applyFill="1" applyBorder="1"/>
    <xf numFmtId="0" fontId="2" fillId="2" borderId="40" xfId="0" applyFont="1" applyFill="1" applyBorder="1" applyAlignment="1">
      <alignment horizontal="center" vertical="center" wrapText="1"/>
    </xf>
    <xf numFmtId="0" fontId="6" fillId="2" borderId="23" xfId="0" applyFont="1" applyFill="1" applyBorder="1"/>
    <xf numFmtId="0" fontId="10" fillId="3" borderId="0" xfId="0" applyFont="1" applyFill="1" applyBorder="1"/>
    <xf numFmtId="0" fontId="10" fillId="3" borderId="52" xfId="0" applyFont="1" applyFill="1" applyBorder="1"/>
    <xf numFmtId="0" fontId="2" fillId="2" borderId="57" xfId="0" applyFont="1" applyFill="1" applyBorder="1" applyAlignment="1">
      <alignment horizontal="center" vertical="center" wrapText="1"/>
    </xf>
    <xf numFmtId="0" fontId="0" fillId="2" borderId="22" xfId="0" applyFill="1" applyBorder="1" applyAlignment="1">
      <alignment horizontal="right"/>
    </xf>
    <xf numFmtId="9" fontId="0" fillId="3" borderId="0" xfId="2" applyFont="1" applyFill="1" applyBorder="1" applyAlignment="1">
      <alignment horizontal="center"/>
    </xf>
    <xf numFmtId="9" fontId="0" fillId="3" borderId="0" xfId="2" applyFont="1" applyFill="1" applyBorder="1" applyAlignment="1">
      <alignment horizontal="center" wrapText="1"/>
    </xf>
    <xf numFmtId="164" fontId="3" fillId="3" borderId="0" xfId="0" applyNumberFormat="1" applyFont="1" applyFill="1" applyBorder="1" applyAlignment="1">
      <alignment horizontal="right"/>
    </xf>
    <xf numFmtId="0" fontId="8" fillId="3" borderId="0" xfId="0" applyFont="1" applyFill="1" applyBorder="1" applyAlignment="1">
      <alignment horizontal="center" wrapText="1"/>
    </xf>
    <xf numFmtId="0" fontId="2" fillId="2" borderId="40" xfId="0" applyFont="1" applyFill="1" applyBorder="1" applyAlignment="1">
      <alignment horizontal="center" wrapText="1"/>
    </xf>
    <xf numFmtId="0" fontId="2" fillId="2" borderId="40" xfId="0" applyFont="1" applyFill="1" applyBorder="1" applyAlignment="1">
      <alignment horizontal="center"/>
    </xf>
    <xf numFmtId="0" fontId="0" fillId="6" borderId="0" xfId="0" applyFill="1"/>
    <xf numFmtId="0" fontId="13" fillId="3" borderId="0" xfId="0" applyFont="1" applyFill="1" applyBorder="1" applyAlignment="1">
      <alignment horizontal="right"/>
    </xf>
    <xf numFmtId="0" fontId="0" fillId="3" borderId="52" xfId="0" applyFill="1" applyBorder="1" applyProtection="1"/>
    <xf numFmtId="0" fontId="5" fillId="0" borderId="0" xfId="0" applyFont="1" applyFill="1" applyAlignment="1">
      <alignment vertical="center"/>
    </xf>
    <xf numFmtId="0" fontId="5" fillId="3" borderId="12" xfId="0" applyFont="1" applyFill="1" applyBorder="1" applyAlignment="1">
      <alignment vertical="center"/>
    </xf>
    <xf numFmtId="0" fontId="6" fillId="2" borderId="66" xfId="0" applyFont="1" applyFill="1" applyBorder="1"/>
    <xf numFmtId="0" fontId="3" fillId="2" borderId="12" xfId="0" applyFont="1" applyFill="1" applyBorder="1"/>
    <xf numFmtId="0" fontId="2" fillId="2" borderId="12" xfId="0" applyFont="1" applyFill="1" applyBorder="1" applyAlignment="1">
      <alignment horizontal="right"/>
    </xf>
    <xf numFmtId="0" fontId="0" fillId="5" borderId="9" xfId="0" applyFill="1" applyBorder="1"/>
    <xf numFmtId="0" fontId="2" fillId="2" borderId="68" xfId="0" applyFont="1" applyFill="1" applyBorder="1" applyAlignment="1"/>
    <xf numFmtId="0" fontId="0" fillId="2" borderId="11" xfId="0" applyFill="1" applyBorder="1"/>
    <xf numFmtId="0" fontId="0" fillId="2" borderId="71" xfId="0" applyFill="1" applyBorder="1"/>
    <xf numFmtId="0" fontId="6" fillId="2" borderId="73" xfId="0" applyFont="1" applyFill="1" applyBorder="1"/>
    <xf numFmtId="0" fontId="2" fillId="2" borderId="74" xfId="0" applyFont="1" applyFill="1" applyBorder="1" applyAlignment="1"/>
    <xf numFmtId="0" fontId="2" fillId="2" borderId="75" xfId="0" applyFont="1" applyFill="1" applyBorder="1" applyAlignment="1"/>
    <xf numFmtId="0" fontId="8" fillId="3" borderId="36" xfId="0" applyFont="1" applyFill="1" applyBorder="1" applyAlignment="1">
      <alignment horizontal="right"/>
    </xf>
    <xf numFmtId="0" fontId="2" fillId="3" borderId="0" xfId="0" applyFont="1" applyFill="1" applyBorder="1" applyAlignment="1">
      <alignment horizontal="right"/>
    </xf>
    <xf numFmtId="0" fontId="6" fillId="2" borderId="76" xfId="0" applyFont="1" applyFill="1" applyBorder="1"/>
    <xf numFmtId="0" fontId="6" fillId="2" borderId="11" xfId="0" applyFont="1" applyFill="1" applyBorder="1"/>
    <xf numFmtId="0" fontId="3" fillId="2" borderId="24" xfId="0" applyFont="1" applyFill="1" applyBorder="1"/>
    <xf numFmtId="0" fontId="0" fillId="8" borderId="0" xfId="0" applyFill="1"/>
    <xf numFmtId="0" fontId="0" fillId="3" borderId="9" xfId="0" applyFill="1" applyBorder="1" applyAlignment="1">
      <alignment horizontal="right"/>
    </xf>
    <xf numFmtId="0" fontId="0" fillId="9" borderId="0" xfId="0" applyFill="1"/>
    <xf numFmtId="0" fontId="12" fillId="9" borderId="0" xfId="0" applyFont="1" applyFill="1"/>
    <xf numFmtId="0" fontId="12" fillId="9" borderId="0" xfId="0" applyFont="1" applyFill="1" applyBorder="1"/>
    <xf numFmtId="0" fontId="3" fillId="9" borderId="0" xfId="0" applyFont="1" applyFill="1"/>
    <xf numFmtId="0" fontId="0" fillId="9" borderId="0" xfId="0" applyFill="1" applyBorder="1"/>
    <xf numFmtId="0" fontId="14" fillId="9" borderId="0" xfId="0" applyFont="1" applyFill="1"/>
    <xf numFmtId="0" fontId="14" fillId="9" borderId="0" xfId="0" applyFont="1" applyFill="1" applyBorder="1"/>
    <xf numFmtId="0" fontId="15" fillId="9" borderId="0" xfId="0" applyFont="1" applyFill="1" applyBorder="1"/>
    <xf numFmtId="43" fontId="14" fillId="9" borderId="0" xfId="0" applyNumberFormat="1" applyFont="1" applyFill="1"/>
    <xf numFmtId="0" fontId="15" fillId="9" borderId="0" xfId="0" applyFont="1" applyFill="1"/>
    <xf numFmtId="0" fontId="15" fillId="9" borderId="0" xfId="0" applyFont="1" applyFill="1" applyBorder="1" applyAlignment="1">
      <alignment wrapText="1"/>
    </xf>
    <xf numFmtId="164" fontId="14" fillId="9" borderId="0" xfId="1" applyNumberFormat="1" applyFont="1" applyFill="1" applyBorder="1"/>
    <xf numFmtId="164" fontId="14" fillId="9" borderId="0" xfId="0" applyNumberFormat="1" applyFont="1" applyFill="1"/>
    <xf numFmtId="0" fontId="0" fillId="9" borderId="39" xfId="0" applyFill="1" applyBorder="1"/>
    <xf numFmtId="0" fontId="0" fillId="9" borderId="0" xfId="0" applyFill="1" applyProtection="1"/>
    <xf numFmtId="0" fontId="14" fillId="9" borderId="0" xfId="0" applyFont="1" applyFill="1" applyProtection="1"/>
    <xf numFmtId="0" fontId="8" fillId="3" borderId="0" xfId="0" applyFont="1" applyFill="1" applyBorder="1" applyAlignment="1">
      <alignment horizontal="center"/>
    </xf>
    <xf numFmtId="164" fontId="0" fillId="3" borderId="0" xfId="1" applyNumberFormat="1" applyFont="1" applyFill="1" applyBorder="1" applyAlignment="1">
      <alignment horizontal="center"/>
    </xf>
    <xf numFmtId="0" fontId="0" fillId="3" borderId="9" xfId="0" applyFill="1" applyBorder="1" applyAlignment="1">
      <alignment horizontal="left" vertical="center"/>
    </xf>
    <xf numFmtId="0" fontId="18" fillId="9" borderId="0" xfId="0" applyFont="1" applyFill="1" applyBorder="1"/>
    <xf numFmtId="0" fontId="0" fillId="3" borderId="9" xfId="0" applyFill="1" applyBorder="1" applyAlignment="1">
      <alignment horizontal="center" vertical="center"/>
    </xf>
    <xf numFmtId="0" fontId="0" fillId="3" borderId="9" xfId="0" applyFill="1" applyBorder="1" applyAlignment="1">
      <alignment vertical="center"/>
    </xf>
    <xf numFmtId="43" fontId="0" fillId="3" borderId="0" xfId="0" applyNumberFormat="1" applyFill="1" applyBorder="1"/>
    <xf numFmtId="44" fontId="0" fillId="3" borderId="0" xfId="3" applyFont="1" applyFill="1" applyBorder="1"/>
    <xf numFmtId="166" fontId="0" fillId="3" borderId="0" xfId="3" applyNumberFormat="1" applyFont="1" applyFill="1" applyBorder="1"/>
    <xf numFmtId="0" fontId="8" fillId="3" borderId="7" xfId="0" applyFont="1" applyFill="1" applyBorder="1" applyAlignment="1">
      <alignment horizontal="center" wrapText="1"/>
    </xf>
    <xf numFmtId="0" fontId="4" fillId="2" borderId="7" xfId="0" applyFont="1" applyFill="1" applyBorder="1" applyProtection="1"/>
    <xf numFmtId="164" fontId="0" fillId="3" borderId="0" xfId="1" applyNumberFormat="1" applyFont="1" applyFill="1" applyBorder="1" applyAlignment="1">
      <alignment horizontal="center"/>
    </xf>
    <xf numFmtId="0" fontId="8" fillId="3" borderId="7" xfId="0" applyFont="1" applyFill="1" applyBorder="1" applyAlignment="1">
      <alignment horizontal="right"/>
    </xf>
    <xf numFmtId="0" fontId="0" fillId="0" borderId="10" xfId="0" applyBorder="1" applyProtection="1"/>
    <xf numFmtId="0" fontId="0" fillId="3" borderId="8" xfId="0" applyFill="1" applyBorder="1" applyProtection="1"/>
    <xf numFmtId="0" fontId="8" fillId="10" borderId="10" xfId="0" applyFont="1" applyFill="1" applyBorder="1" applyAlignment="1">
      <alignment horizontal="right"/>
    </xf>
    <xf numFmtId="0" fontId="8" fillId="10" borderId="36" xfId="0" applyFont="1" applyFill="1" applyBorder="1" applyAlignment="1">
      <alignment horizontal="right"/>
    </xf>
    <xf numFmtId="43" fontId="0" fillId="10" borderId="36" xfId="1" applyFont="1" applyFill="1" applyBorder="1"/>
    <xf numFmtId="43" fontId="0" fillId="10" borderId="10" xfId="1" applyFont="1" applyFill="1" applyBorder="1"/>
    <xf numFmtId="0" fontId="0" fillId="10" borderId="36" xfId="0" applyFill="1" applyBorder="1"/>
    <xf numFmtId="0" fontId="0" fillId="10" borderId="10" xfId="0" applyFill="1" applyBorder="1"/>
    <xf numFmtId="3" fontId="0" fillId="3" borderId="0" xfId="0" applyNumberFormat="1" applyFill="1" applyBorder="1"/>
    <xf numFmtId="0" fontId="0" fillId="0" borderId="0" xfId="0"/>
    <xf numFmtId="3" fontId="5" fillId="3" borderId="12" xfId="0" applyNumberFormat="1" applyFont="1" applyFill="1" applyBorder="1" applyAlignment="1"/>
    <xf numFmtId="3" fontId="0" fillId="3" borderId="38" xfId="0" applyNumberFormat="1" applyFont="1" applyFill="1" applyBorder="1" applyAlignment="1">
      <alignment horizontal="right"/>
    </xf>
    <xf numFmtId="3" fontId="0" fillId="3" borderId="0" xfId="0" applyNumberFormat="1" applyFont="1" applyFill="1" applyBorder="1" applyAlignment="1"/>
    <xf numFmtId="0" fontId="0" fillId="3" borderId="20" xfId="0" applyFill="1" applyBorder="1" applyAlignment="1"/>
    <xf numFmtId="0" fontId="0" fillId="3" borderId="12" xfId="0" applyFill="1" applyBorder="1" applyAlignment="1"/>
    <xf numFmtId="3" fontId="22" fillId="3" borderId="12" xfId="0" applyNumberFormat="1" applyFont="1" applyFill="1" applyBorder="1" applyAlignment="1"/>
    <xf numFmtId="164" fontId="0" fillId="4" borderId="4" xfId="1" applyNumberFormat="1" applyFont="1" applyFill="1" applyBorder="1" applyProtection="1">
      <protection locked="0"/>
    </xf>
    <xf numFmtId="164" fontId="0" fillId="4" borderId="1" xfId="1" applyNumberFormat="1" applyFont="1" applyFill="1" applyBorder="1" applyProtection="1">
      <protection locked="0"/>
    </xf>
    <xf numFmtId="164" fontId="0" fillId="4" borderId="19" xfId="1" applyNumberFormat="1" applyFont="1" applyFill="1" applyBorder="1" applyProtection="1">
      <protection locked="0"/>
    </xf>
    <xf numFmtId="0" fontId="0" fillId="3" borderId="0" xfId="0" applyFill="1" applyBorder="1" applyProtection="1"/>
    <xf numFmtId="0" fontId="0" fillId="3" borderId="7" xfId="0" applyFill="1" applyBorder="1" applyProtection="1"/>
    <xf numFmtId="0" fontId="0" fillId="3" borderId="12" xfId="0" applyFill="1" applyBorder="1" applyProtection="1"/>
    <xf numFmtId="0" fontId="0" fillId="4" borderId="49" xfId="0" applyFill="1" applyBorder="1" applyProtection="1">
      <protection locked="0"/>
    </xf>
    <xf numFmtId="0" fontId="0" fillId="7" borderId="43" xfId="0" applyFill="1" applyBorder="1" applyProtection="1">
      <protection locked="0"/>
    </xf>
    <xf numFmtId="0" fontId="0" fillId="4" borderId="49" xfId="0" applyFill="1" applyBorder="1" applyAlignment="1" applyProtection="1">
      <alignment horizontal="right"/>
      <protection locked="0"/>
    </xf>
    <xf numFmtId="0" fontId="0" fillId="4" borderId="1" xfId="0" applyFill="1" applyBorder="1" applyAlignment="1" applyProtection="1">
      <alignment horizontal="center"/>
      <protection locked="0"/>
    </xf>
    <xf numFmtId="0" fontId="0" fillId="3" borderId="37" xfId="0" applyFill="1" applyBorder="1" applyProtection="1"/>
    <xf numFmtId="0" fontId="0" fillId="3" borderId="0" xfId="0" applyFill="1" applyBorder="1"/>
    <xf numFmtId="0" fontId="3" fillId="3" borderId="0" xfId="0" applyFont="1" applyFill="1" applyBorder="1" applyAlignment="1">
      <alignment horizontal="right"/>
    </xf>
    <xf numFmtId="0" fontId="0" fillId="3" borderId="38" xfId="0" applyFill="1" applyBorder="1"/>
    <xf numFmtId="0" fontId="0" fillId="3" borderId="9" xfId="0" applyFill="1" applyBorder="1"/>
    <xf numFmtId="164" fontId="0" fillId="3" borderId="0" xfId="1" applyNumberFormat="1" applyFont="1" applyFill="1" applyBorder="1"/>
    <xf numFmtId="43" fontId="0" fillId="3" borderId="0" xfId="1" applyFont="1" applyFill="1" applyBorder="1"/>
    <xf numFmtId="164" fontId="0" fillId="3" borderId="38" xfId="1" applyNumberFormat="1" applyFont="1" applyFill="1" applyBorder="1"/>
    <xf numFmtId="0" fontId="5" fillId="3" borderId="12" xfId="0" applyFont="1" applyFill="1" applyBorder="1" applyAlignment="1"/>
    <xf numFmtId="0" fontId="0" fillId="6" borderId="0" xfId="0" applyFill="1"/>
    <xf numFmtId="0" fontId="12" fillId="6" borderId="0" xfId="0" applyFont="1" applyFill="1"/>
    <xf numFmtId="0" fontId="0" fillId="7" borderId="49" xfId="0" applyFill="1" applyBorder="1" applyAlignment="1" applyProtection="1">
      <alignment horizontal="center"/>
      <protection locked="0"/>
    </xf>
    <xf numFmtId="0" fontId="0" fillId="8" borderId="0" xfId="0" applyFill="1"/>
    <xf numFmtId="0" fontId="0" fillId="9" borderId="0" xfId="0" applyFill="1"/>
    <xf numFmtId="0" fontId="12" fillId="9" borderId="0" xfId="0" applyFont="1" applyFill="1"/>
    <xf numFmtId="0" fontId="14" fillId="9" borderId="0" xfId="0" applyFont="1" applyFill="1"/>
    <xf numFmtId="0" fontId="14" fillId="9" borderId="0" xfId="0" applyFont="1" applyFill="1" applyBorder="1"/>
    <xf numFmtId="0" fontId="22" fillId="3" borderId="12" xfId="0" applyFont="1" applyFill="1" applyBorder="1" applyAlignment="1"/>
    <xf numFmtId="1" fontId="0" fillId="3" borderId="0" xfId="0" applyNumberFormat="1" applyFill="1" applyBorder="1"/>
    <xf numFmtId="0" fontId="0" fillId="7" borderId="15" xfId="0" applyFill="1" applyBorder="1" applyAlignment="1" applyProtection="1">
      <alignment horizontal="left"/>
      <protection locked="0"/>
    </xf>
    <xf numFmtId="0" fontId="0" fillId="7" borderId="1" xfId="0" applyFill="1" applyBorder="1" applyAlignment="1" applyProtection="1">
      <alignment horizontal="center"/>
      <protection locked="0"/>
    </xf>
    <xf numFmtId="0" fontId="0" fillId="7" borderId="3" xfId="0" applyFill="1" applyBorder="1" applyAlignment="1" applyProtection="1">
      <alignment horizontal="center"/>
      <protection locked="0"/>
    </xf>
    <xf numFmtId="0" fontId="4" fillId="2" borderId="8" xfId="0" applyFont="1" applyFill="1" applyBorder="1" applyProtection="1"/>
    <xf numFmtId="0" fontId="23" fillId="3" borderId="52" xfId="0" applyFont="1" applyFill="1" applyBorder="1" applyAlignment="1" applyProtection="1">
      <alignment horizontal="right"/>
    </xf>
    <xf numFmtId="0" fontId="3" fillId="3" borderId="0" xfId="0" applyFont="1" applyFill="1" applyBorder="1" applyAlignment="1">
      <alignment horizontal="center" wrapText="1"/>
    </xf>
    <xf numFmtId="0" fontId="0" fillId="3" borderId="0" xfId="0" applyFill="1" applyBorder="1" applyAlignment="1">
      <alignment horizontal="center"/>
    </xf>
    <xf numFmtId="0" fontId="8" fillId="3" borderId="33" xfId="0" applyFont="1" applyFill="1" applyBorder="1" applyAlignment="1">
      <alignment horizontal="right"/>
    </xf>
    <xf numFmtId="0" fontId="8" fillId="3" borderId="7" xfId="0" applyFont="1" applyFill="1" applyBorder="1" applyAlignment="1">
      <alignment horizontal="right"/>
    </xf>
    <xf numFmtId="0" fontId="8" fillId="3" borderId="0" xfId="0" applyFont="1" applyFill="1" applyBorder="1" applyAlignment="1">
      <alignment horizontal="right"/>
    </xf>
    <xf numFmtId="0" fontId="6" fillId="2" borderId="23" xfId="0" applyFont="1" applyFill="1" applyBorder="1" applyAlignment="1">
      <alignment horizontal="left"/>
    </xf>
    <xf numFmtId="0" fontId="2" fillId="2" borderId="12" xfId="0" applyFont="1" applyFill="1" applyBorder="1"/>
    <xf numFmtId="0" fontId="0" fillId="0" borderId="0" xfId="0"/>
    <xf numFmtId="0" fontId="0" fillId="3" borderId="37" xfId="0" applyFill="1" applyBorder="1" applyProtection="1"/>
    <xf numFmtId="2" fontId="3" fillId="3" borderId="0" xfId="0" applyNumberFormat="1" applyFont="1" applyFill="1" applyBorder="1" applyAlignment="1">
      <alignment horizontal="right"/>
    </xf>
    <xf numFmtId="2" fontId="0" fillId="3" borderId="38" xfId="0" applyNumberFormat="1" applyFill="1" applyBorder="1"/>
    <xf numFmtId="0" fontId="0" fillId="3" borderId="38" xfId="0" applyFill="1" applyBorder="1"/>
    <xf numFmtId="0" fontId="0" fillId="3" borderId="20" xfId="0" applyFill="1" applyBorder="1"/>
    <xf numFmtId="0" fontId="8" fillId="3" borderId="33" xfId="0" applyFont="1" applyFill="1" applyBorder="1" applyAlignment="1">
      <alignment horizontal="right"/>
    </xf>
    <xf numFmtId="0" fontId="8" fillId="3" borderId="0" xfId="0" applyFont="1" applyFill="1" applyBorder="1" applyAlignment="1">
      <alignment horizontal="right"/>
    </xf>
    <xf numFmtId="0" fontId="2" fillId="2" borderId="12" xfId="0" applyFont="1" applyFill="1" applyBorder="1" applyAlignment="1">
      <alignment horizontal="right"/>
    </xf>
    <xf numFmtId="0" fontId="3" fillId="3" borderId="6" xfId="0" applyFont="1" applyFill="1" applyBorder="1"/>
    <xf numFmtId="0" fontId="3" fillId="3" borderId="7" xfId="0" applyFont="1" applyFill="1" applyBorder="1" applyAlignment="1">
      <alignment horizontal="right"/>
    </xf>
    <xf numFmtId="0" fontId="0" fillId="3" borderId="9" xfId="0" applyFill="1" applyBorder="1"/>
    <xf numFmtId="0" fontId="0" fillId="3" borderId="0" xfId="0" applyFill="1" applyBorder="1"/>
    <xf numFmtId="2" fontId="0" fillId="3" borderId="0" xfId="0" applyNumberFormat="1" applyFill="1" applyBorder="1"/>
    <xf numFmtId="0" fontId="0" fillId="3" borderId="11" xfId="0" applyFill="1" applyBorder="1"/>
    <xf numFmtId="0" fontId="0" fillId="3" borderId="12" xfId="0" applyFill="1" applyBorder="1"/>
    <xf numFmtId="0" fontId="3" fillId="3" borderId="9" xfId="0" applyFont="1" applyFill="1" applyBorder="1"/>
    <xf numFmtId="164" fontId="0" fillId="3" borderId="0" xfId="1" applyNumberFormat="1" applyFont="1" applyFill="1" applyBorder="1"/>
    <xf numFmtId="43" fontId="0" fillId="3" borderId="0" xfId="1" applyFont="1" applyFill="1" applyBorder="1"/>
    <xf numFmtId="0" fontId="3" fillId="3" borderId="0" xfId="0" applyFont="1" applyFill="1" applyBorder="1" applyAlignment="1">
      <alignment horizontal="right"/>
    </xf>
    <xf numFmtId="0" fontId="3" fillId="3" borderId="12" xfId="0" applyFont="1" applyFill="1" applyBorder="1" applyAlignment="1">
      <alignment horizontal="right"/>
    </xf>
    <xf numFmtId="0" fontId="0" fillId="0" borderId="0" xfId="0" applyBorder="1"/>
    <xf numFmtId="0" fontId="8" fillId="3" borderId="7" xfId="0" applyFont="1" applyFill="1" applyBorder="1" applyAlignment="1">
      <alignment horizontal="right"/>
    </xf>
    <xf numFmtId="0" fontId="0" fillId="3" borderId="6" xfId="0" applyFill="1" applyBorder="1"/>
    <xf numFmtId="0" fontId="8" fillId="3" borderId="9" xfId="0" applyFont="1" applyFill="1" applyBorder="1"/>
    <xf numFmtId="9" fontId="0" fillId="3" borderId="0" xfId="2" applyFont="1" applyFill="1" applyBorder="1"/>
    <xf numFmtId="0" fontId="0" fillId="3" borderId="52" xfId="0" applyFill="1" applyBorder="1"/>
    <xf numFmtId="0" fontId="8" fillId="3" borderId="52" xfId="0" applyFont="1" applyFill="1" applyBorder="1" applyAlignment="1">
      <alignment horizontal="right"/>
    </xf>
    <xf numFmtId="0" fontId="8" fillId="3" borderId="0" xfId="0" applyFont="1" applyFill="1" applyBorder="1" applyAlignment="1">
      <alignment wrapText="1"/>
    </xf>
    <xf numFmtId="0" fontId="0" fillId="3" borderId="33" xfId="0" applyFill="1" applyBorder="1"/>
    <xf numFmtId="0" fontId="10" fillId="3" borderId="7" xfId="0" applyFont="1" applyFill="1" applyBorder="1"/>
    <xf numFmtId="0" fontId="8" fillId="3" borderId="0" xfId="0" applyFont="1" applyFill="1" applyBorder="1" applyAlignment="1">
      <alignment horizontal="right" wrapText="1"/>
    </xf>
    <xf numFmtId="0" fontId="8" fillId="3" borderId="0" xfId="0" applyFont="1" applyFill="1" applyBorder="1"/>
    <xf numFmtId="164" fontId="0" fillId="3" borderId="52" xfId="1" applyNumberFormat="1" applyFont="1" applyFill="1" applyBorder="1"/>
    <xf numFmtId="43" fontId="0" fillId="3" borderId="52" xfId="1" applyFont="1" applyFill="1" applyBorder="1"/>
    <xf numFmtId="0" fontId="8" fillId="3" borderId="38" xfId="0" applyFont="1" applyFill="1" applyBorder="1" applyAlignment="1">
      <alignment horizontal="right" wrapText="1"/>
    </xf>
    <xf numFmtId="2" fontId="0" fillId="3" borderId="38" xfId="1" applyNumberFormat="1" applyFont="1" applyFill="1" applyBorder="1"/>
    <xf numFmtId="0" fontId="3" fillId="3" borderId="7" xfId="0" applyFont="1" applyFill="1" applyBorder="1" applyAlignment="1">
      <alignment horizontal="right" wrapText="1"/>
    </xf>
    <xf numFmtId="0" fontId="0" fillId="9" borderId="0" xfId="0" applyFill="1"/>
    <xf numFmtId="43" fontId="0" fillId="3" borderId="0" xfId="1" applyNumberFormat="1" applyFont="1" applyFill="1" applyBorder="1"/>
    <xf numFmtId="9" fontId="0" fillId="3" borderId="0" xfId="2" applyFont="1" applyFill="1" applyBorder="1" applyAlignment="1">
      <alignment horizontal="center" wrapText="1"/>
    </xf>
    <xf numFmtId="0" fontId="6" fillId="2" borderId="66" xfId="0" applyFont="1" applyFill="1" applyBorder="1"/>
    <xf numFmtId="0" fontId="3" fillId="2" borderId="12" xfId="0" applyFont="1" applyFill="1" applyBorder="1"/>
    <xf numFmtId="0" fontId="0" fillId="0" borderId="12" xfId="0" applyBorder="1"/>
    <xf numFmtId="0" fontId="8" fillId="3" borderId="0" xfId="0" applyFont="1" applyFill="1" applyBorder="1" applyAlignment="1">
      <alignment horizontal="center"/>
    </xf>
    <xf numFmtId="0" fontId="0" fillId="3" borderId="37" xfId="0" applyFill="1" applyBorder="1"/>
    <xf numFmtId="0" fontId="10" fillId="3" borderId="78" xfId="0" applyFont="1" applyFill="1" applyBorder="1"/>
    <xf numFmtId="164" fontId="0" fillId="3" borderId="12" xfId="1" applyNumberFormat="1" applyFont="1" applyFill="1" applyBorder="1"/>
    <xf numFmtId="9" fontId="0" fillId="3" borderId="12" xfId="2" applyFont="1" applyFill="1" applyBorder="1" applyAlignment="1">
      <alignment horizontal="center" wrapText="1"/>
    </xf>
    <xf numFmtId="0" fontId="7" fillId="2" borderId="7" xfId="0" applyFont="1" applyFill="1" applyBorder="1" applyProtection="1"/>
    <xf numFmtId="0" fontId="7" fillId="2" borderId="23" xfId="0" applyFont="1" applyFill="1" applyBorder="1" applyProtection="1"/>
    <xf numFmtId="0" fontId="3" fillId="3" borderId="81" xfId="0" applyFont="1" applyFill="1" applyBorder="1" applyAlignment="1" applyProtection="1">
      <alignment wrapText="1"/>
    </xf>
    <xf numFmtId="0" fontId="7" fillId="2" borderId="78" xfId="0" applyFont="1" applyFill="1" applyBorder="1" applyProtection="1"/>
    <xf numFmtId="0" fontId="0" fillId="3" borderId="36" xfId="0" applyFill="1" applyBorder="1" applyProtection="1"/>
    <xf numFmtId="0" fontId="0" fillId="3" borderId="56" xfId="0" applyFill="1" applyBorder="1" applyAlignment="1" applyProtection="1">
      <alignment horizontal="left"/>
    </xf>
    <xf numFmtId="0" fontId="0" fillId="3" borderId="38" xfId="0" applyFill="1" applyBorder="1" applyAlignment="1" applyProtection="1">
      <alignment horizontal="left"/>
    </xf>
    <xf numFmtId="0" fontId="0" fillId="3" borderId="38" xfId="0" applyFill="1" applyBorder="1" applyAlignment="1" applyProtection="1">
      <alignment horizontal="left" vertical="center"/>
    </xf>
    <xf numFmtId="0" fontId="0" fillId="3" borderId="38" xfId="0" applyFill="1" applyBorder="1" applyProtection="1"/>
    <xf numFmtId="0" fontId="0" fillId="3" borderId="14" xfId="0" applyFill="1" applyBorder="1" applyProtection="1"/>
    <xf numFmtId="0" fontId="0" fillId="3" borderId="77" xfId="0" applyFill="1" applyBorder="1" applyProtection="1"/>
    <xf numFmtId="0" fontId="0" fillId="3" borderId="25" xfId="0" applyFill="1" applyBorder="1" applyProtection="1"/>
    <xf numFmtId="0" fontId="0" fillId="3" borderId="83" xfId="0" applyFill="1" applyBorder="1" applyAlignment="1" applyProtection="1">
      <alignment horizontal="left"/>
    </xf>
    <xf numFmtId="0" fontId="0" fillId="3" borderId="83" xfId="0" applyFill="1" applyBorder="1" applyProtection="1"/>
    <xf numFmtId="0" fontId="0" fillId="3" borderId="62" xfId="0" applyFill="1" applyBorder="1" applyProtection="1"/>
    <xf numFmtId="0" fontId="0" fillId="3" borderId="14" xfId="0" applyFill="1" applyBorder="1" applyAlignment="1" applyProtection="1">
      <alignment horizontal="left"/>
    </xf>
    <xf numFmtId="0" fontId="0" fillId="3" borderId="77" xfId="0" applyFill="1" applyBorder="1" applyAlignment="1" applyProtection="1">
      <alignment horizontal="left"/>
    </xf>
    <xf numFmtId="0" fontId="0" fillId="3" borderId="33" xfId="0" applyFill="1" applyBorder="1" applyAlignment="1" applyProtection="1">
      <alignment horizontal="left"/>
    </xf>
    <xf numFmtId="0" fontId="0" fillId="3" borderId="31" xfId="0" applyFill="1" applyBorder="1" applyProtection="1"/>
    <xf numFmtId="0" fontId="0" fillId="3" borderId="39" xfId="0" applyFill="1" applyBorder="1" applyProtection="1"/>
    <xf numFmtId="0" fontId="0" fillId="3" borderId="17" xfId="0" applyFill="1" applyBorder="1" applyProtection="1"/>
    <xf numFmtId="0" fontId="0" fillId="3" borderId="60" xfId="0" applyFill="1" applyBorder="1" applyProtection="1"/>
    <xf numFmtId="0" fontId="19" fillId="3" borderId="0" xfId="0" applyFont="1" applyFill="1" applyBorder="1" applyAlignment="1" applyProtection="1">
      <alignment horizontal="center"/>
    </xf>
    <xf numFmtId="0" fontId="19" fillId="3" borderId="52" xfId="0" applyFont="1" applyFill="1" applyBorder="1" applyAlignment="1" applyProtection="1">
      <alignment horizontal="center"/>
    </xf>
    <xf numFmtId="0" fontId="7" fillId="2" borderId="84" xfId="0" applyFont="1" applyFill="1" applyBorder="1" applyProtection="1"/>
    <xf numFmtId="0" fontId="9" fillId="9" borderId="0" xfId="0" applyFont="1" applyFill="1" applyProtection="1"/>
    <xf numFmtId="0" fontId="19" fillId="3" borderId="12" xfId="0" applyFont="1" applyFill="1" applyBorder="1" applyAlignment="1" applyProtection="1">
      <alignment horizontal="center"/>
    </xf>
    <xf numFmtId="0" fontId="0" fillId="3" borderId="85" xfId="0" applyFill="1" applyBorder="1" applyProtection="1"/>
    <xf numFmtId="0" fontId="19" fillId="3" borderId="77" xfId="0" applyFont="1" applyFill="1" applyBorder="1" applyAlignment="1" applyProtection="1">
      <alignment horizontal="center"/>
    </xf>
    <xf numFmtId="0" fontId="3" fillId="3" borderId="81" xfId="0" applyFont="1" applyFill="1" applyBorder="1" applyAlignment="1" applyProtection="1">
      <alignment horizontal="center" wrapText="1"/>
    </xf>
    <xf numFmtId="0" fontId="3" fillId="3" borderId="86" xfId="0" applyFont="1" applyFill="1" applyBorder="1" applyAlignment="1" applyProtection="1"/>
    <xf numFmtId="2" fontId="0" fillId="0" borderId="35" xfId="0" applyNumberFormat="1" applyFill="1" applyBorder="1" applyProtection="1"/>
    <xf numFmtId="9" fontId="0" fillId="0" borderId="90" xfId="2" applyFont="1" applyFill="1" applyBorder="1" applyProtection="1"/>
    <xf numFmtId="9" fontId="0" fillId="11" borderId="3" xfId="2" applyFont="1" applyFill="1" applyBorder="1" applyProtection="1">
      <protection locked="0"/>
    </xf>
    <xf numFmtId="9" fontId="0" fillId="11" borderId="1" xfId="2" applyFont="1" applyFill="1" applyBorder="1" applyProtection="1">
      <protection locked="0"/>
    </xf>
    <xf numFmtId="9" fontId="0" fillId="11" borderId="19" xfId="2" applyFont="1" applyFill="1" applyBorder="1" applyProtection="1">
      <protection locked="0"/>
    </xf>
    <xf numFmtId="0" fontId="14" fillId="3" borderId="0" xfId="0" applyFont="1" applyFill="1" applyBorder="1" applyProtection="1"/>
    <xf numFmtId="0" fontId="14" fillId="3" borderId="0" xfId="0" applyFont="1" applyFill="1" applyProtection="1"/>
    <xf numFmtId="2" fontId="14" fillId="3" borderId="0" xfId="0" applyNumberFormat="1" applyFont="1" applyFill="1" applyBorder="1" applyProtection="1">
      <protection locked="0"/>
    </xf>
    <xf numFmtId="0" fontId="15" fillId="3" borderId="0" xfId="0" applyFont="1" applyFill="1" applyBorder="1" applyAlignment="1">
      <alignment wrapText="1"/>
    </xf>
    <xf numFmtId="0" fontId="15" fillId="3" borderId="0" xfId="0" applyFont="1" applyFill="1" applyBorder="1" applyAlignment="1">
      <alignment horizontal="center" wrapText="1"/>
    </xf>
    <xf numFmtId="164" fontId="14" fillId="3" borderId="0" xfId="1" applyNumberFormat="1" applyFont="1" applyFill="1" applyBorder="1"/>
    <xf numFmtId="0" fontId="14" fillId="3" borderId="0" xfId="0" applyFont="1" applyFill="1" applyBorder="1"/>
    <xf numFmtId="0" fontId="15" fillId="3" borderId="0" xfId="0" applyFont="1" applyFill="1" applyBorder="1" applyProtection="1"/>
    <xf numFmtId="9" fontId="0" fillId="11" borderId="4" xfId="2" applyFont="1" applyFill="1" applyBorder="1" applyProtection="1">
      <protection locked="0"/>
    </xf>
    <xf numFmtId="0" fontId="0" fillId="3" borderId="92" xfId="0" applyFill="1" applyBorder="1" applyProtection="1"/>
    <xf numFmtId="0" fontId="7" fillId="3" borderId="86" xfId="0" applyFont="1" applyFill="1" applyBorder="1" applyProtection="1"/>
    <xf numFmtId="0" fontId="7" fillId="3" borderId="93" xfId="0" applyFont="1" applyFill="1" applyBorder="1" applyProtection="1"/>
    <xf numFmtId="0" fontId="0" fillId="3" borderId="93" xfId="0" applyFill="1" applyBorder="1" applyProtection="1"/>
    <xf numFmtId="0" fontId="0" fillId="3" borderId="81" xfId="0" applyFill="1" applyBorder="1" applyProtection="1"/>
    <xf numFmtId="0" fontId="0" fillId="3" borderId="48" xfId="0" applyFill="1" applyBorder="1" applyProtection="1"/>
    <xf numFmtId="0" fontId="3" fillId="3" borderId="94" xfId="0" applyFont="1" applyFill="1" applyBorder="1" applyAlignment="1" applyProtection="1">
      <alignment horizontal="center"/>
    </xf>
    <xf numFmtId="0" fontId="20" fillId="3" borderId="0" xfId="0" applyFont="1" applyFill="1" applyBorder="1" applyAlignment="1" applyProtection="1"/>
    <xf numFmtId="0" fontId="20" fillId="3" borderId="0" xfId="0" applyFont="1" applyFill="1" applyBorder="1" applyAlignment="1" applyProtection="1">
      <alignment wrapText="1"/>
    </xf>
    <xf numFmtId="0" fontId="20" fillId="3" borderId="52" xfId="0" applyFont="1" applyFill="1" applyBorder="1" applyAlignment="1" applyProtection="1">
      <alignment wrapText="1"/>
    </xf>
    <xf numFmtId="0" fontId="0" fillId="3" borderId="35" xfId="0" applyFill="1" applyBorder="1" applyProtection="1"/>
    <xf numFmtId="0" fontId="0" fillId="8" borderId="30" xfId="0" applyFill="1" applyBorder="1" applyProtection="1"/>
    <xf numFmtId="0" fontId="0" fillId="8" borderId="16" xfId="0" applyFill="1" applyBorder="1" applyProtection="1"/>
    <xf numFmtId="0" fontId="9" fillId="9" borderId="0" xfId="0" applyFont="1" applyFill="1" applyBorder="1"/>
    <xf numFmtId="0" fontId="24" fillId="9" borderId="0" xfId="0" applyFont="1" applyFill="1" applyBorder="1" applyAlignment="1">
      <alignment horizontal="center" wrapText="1"/>
    </xf>
    <xf numFmtId="0" fontId="19" fillId="3" borderId="0" xfId="0" applyFont="1" applyFill="1" applyProtection="1"/>
    <xf numFmtId="0" fontId="0" fillId="3" borderId="9" xfId="0" applyFill="1" applyBorder="1" applyAlignment="1" applyProtection="1">
      <alignment horizontal="left"/>
    </xf>
    <xf numFmtId="0" fontId="0" fillId="3" borderId="0" xfId="0" applyFill="1" applyBorder="1" applyAlignment="1" applyProtection="1">
      <alignment horizontal="left"/>
    </xf>
    <xf numFmtId="0" fontId="0" fillId="3" borderId="11" xfId="0" applyFill="1" applyBorder="1" applyAlignment="1" applyProtection="1">
      <alignment horizontal="left"/>
    </xf>
    <xf numFmtId="0" fontId="0" fillId="3" borderId="12" xfId="0" applyFill="1" applyBorder="1" applyAlignment="1" applyProtection="1">
      <alignment horizontal="left"/>
    </xf>
    <xf numFmtId="0" fontId="0" fillId="3" borderId="9" xfId="0" applyFill="1" applyBorder="1" applyAlignment="1" applyProtection="1">
      <alignment horizontal="left" wrapText="1"/>
    </xf>
    <xf numFmtId="0" fontId="0" fillId="3" borderId="0" xfId="0" applyFill="1" applyBorder="1" applyAlignment="1" applyProtection="1">
      <alignment horizontal="left" wrapText="1"/>
    </xf>
    <xf numFmtId="164" fontId="0" fillId="3" borderId="0" xfId="1" applyNumberFormat="1" applyFont="1" applyFill="1" applyBorder="1" applyAlignment="1">
      <alignment horizontal="center"/>
    </xf>
    <xf numFmtId="0" fontId="3" fillId="3" borderId="38" xfId="0" applyFont="1" applyFill="1" applyBorder="1" applyAlignment="1">
      <alignment horizontal="center" wrapText="1"/>
    </xf>
    <xf numFmtId="0" fontId="3" fillId="3" borderId="0" xfId="0" applyFont="1" applyFill="1" applyBorder="1" applyAlignment="1">
      <alignment horizontal="center" wrapText="1"/>
    </xf>
    <xf numFmtId="0" fontId="8" fillId="3" borderId="0" xfId="0" applyFont="1" applyFill="1" applyBorder="1" applyAlignment="1">
      <alignment horizontal="center"/>
    </xf>
    <xf numFmtId="0" fontId="0" fillId="3" borderId="0" xfId="0" applyFill="1" applyBorder="1" applyAlignment="1">
      <alignment horizontal="center"/>
    </xf>
    <xf numFmtId="0" fontId="8" fillId="3" borderId="0" xfId="0" applyFont="1" applyFill="1" applyBorder="1" applyAlignment="1">
      <alignment horizontal="center" wrapText="1"/>
    </xf>
    <xf numFmtId="0" fontId="8" fillId="3" borderId="33" xfId="0" applyFont="1" applyFill="1" applyBorder="1" applyAlignment="1">
      <alignment horizontal="right"/>
    </xf>
    <xf numFmtId="0" fontId="8" fillId="3" borderId="7" xfId="0" applyFont="1" applyFill="1" applyBorder="1" applyAlignment="1">
      <alignment horizontal="right"/>
    </xf>
    <xf numFmtId="0" fontId="8" fillId="3" borderId="38" xfId="0" applyFont="1" applyFill="1" applyBorder="1" applyAlignment="1">
      <alignment horizontal="right"/>
    </xf>
    <xf numFmtId="0" fontId="8" fillId="3" borderId="0" xfId="0" applyFont="1" applyFill="1" applyBorder="1" applyAlignment="1">
      <alignment horizontal="right"/>
    </xf>
    <xf numFmtId="37" fontId="0" fillId="3" borderId="0" xfId="1" applyNumberFormat="1" applyFont="1" applyFill="1" applyBorder="1" applyAlignment="1">
      <alignment horizontal="center"/>
    </xf>
    <xf numFmtId="37" fontId="0" fillId="3" borderId="0" xfId="1" applyNumberFormat="1" applyFont="1" applyFill="1" applyBorder="1"/>
    <xf numFmtId="0" fontId="8" fillId="3" borderId="7" xfId="0" applyFont="1" applyFill="1" applyBorder="1" applyAlignment="1">
      <alignment horizontal="right" wrapText="1"/>
    </xf>
    <xf numFmtId="0" fontId="0" fillId="3" borderId="52" xfId="0" applyFont="1" applyFill="1" applyBorder="1" applyAlignment="1">
      <alignment horizontal="center"/>
    </xf>
    <xf numFmtId="3" fontId="0" fillId="3" borderId="0" xfId="0" applyNumberFormat="1" applyFont="1" applyFill="1" applyBorder="1" applyAlignment="1">
      <alignment horizontal="right"/>
    </xf>
    <xf numFmtId="3" fontId="0" fillId="3" borderId="38" xfId="0" applyNumberFormat="1" applyFill="1" applyBorder="1"/>
    <xf numFmtId="0" fontId="3" fillId="3" borderId="38" xfId="0" applyFont="1" applyFill="1" applyBorder="1" applyAlignment="1">
      <alignment wrapText="1"/>
    </xf>
    <xf numFmtId="9" fontId="0" fillId="3" borderId="0" xfId="2" applyFont="1" applyFill="1" applyBorder="1" applyAlignment="1">
      <alignment horizontal="right" wrapText="1"/>
    </xf>
    <xf numFmtId="0" fontId="0" fillId="3" borderId="0" xfId="0" applyFill="1" applyBorder="1" applyAlignment="1">
      <alignment horizontal="center"/>
    </xf>
    <xf numFmtId="0" fontId="14" fillId="9" borderId="0" xfId="0" applyFont="1" applyFill="1" applyAlignment="1"/>
    <xf numFmtId="0" fontId="8" fillId="3" borderId="30" xfId="0" applyFont="1" applyFill="1" applyBorder="1"/>
    <xf numFmtId="0" fontId="2" fillId="2" borderId="95" xfId="0" applyFont="1" applyFill="1" applyBorder="1" applyAlignment="1"/>
    <xf numFmtId="0" fontId="0" fillId="7" borderId="90" xfId="0" applyFill="1" applyBorder="1" applyProtection="1">
      <protection locked="0"/>
    </xf>
    <xf numFmtId="0" fontId="12" fillId="3" borderId="0" xfId="0" applyFont="1" applyFill="1"/>
    <xf numFmtId="0" fontId="24" fillId="9" borderId="0" xfId="0" applyFont="1" applyFill="1" applyBorder="1" applyAlignment="1">
      <alignment wrapText="1"/>
    </xf>
    <xf numFmtId="0" fontId="19" fillId="3" borderId="52" xfId="0" applyFont="1" applyFill="1" applyBorder="1" applyAlignment="1" applyProtection="1">
      <alignment horizontal="right" vertical="center"/>
    </xf>
    <xf numFmtId="0" fontId="23" fillId="3" borderId="52" xfId="0" applyFont="1" applyFill="1" applyBorder="1" applyAlignment="1" applyProtection="1">
      <alignment horizontal="right" vertical="center"/>
    </xf>
    <xf numFmtId="0" fontId="23" fillId="3" borderId="83" xfId="0" applyFont="1" applyFill="1" applyBorder="1" applyAlignment="1" applyProtection="1"/>
    <xf numFmtId="0" fontId="19" fillId="3" borderId="83" xfId="0" applyFont="1" applyFill="1" applyBorder="1" applyAlignment="1" applyProtection="1"/>
    <xf numFmtId="0" fontId="23" fillId="3" borderId="55" xfId="0" applyFont="1" applyFill="1" applyBorder="1" applyAlignment="1" applyProtection="1">
      <alignment horizontal="right"/>
    </xf>
    <xf numFmtId="0" fontId="23" fillId="3" borderId="25" xfId="0" applyFont="1" applyFill="1" applyBorder="1" applyAlignment="1" applyProtection="1">
      <alignment horizontal="right"/>
    </xf>
    <xf numFmtId="0" fontId="23" fillId="3" borderId="77" xfId="0" applyFont="1" applyFill="1" applyBorder="1" applyAlignment="1" applyProtection="1">
      <alignment horizontal="right"/>
    </xf>
    <xf numFmtId="0" fontId="3" fillId="3" borderId="45" xfId="0" applyFont="1" applyFill="1" applyBorder="1" applyAlignment="1" applyProtection="1">
      <alignment horizontal="center" wrapText="1"/>
    </xf>
    <xf numFmtId="0" fontId="3" fillId="3" borderId="26" xfId="0" applyFont="1" applyFill="1" applyBorder="1" applyAlignment="1" applyProtection="1">
      <alignment horizontal="center" wrapText="1"/>
    </xf>
    <xf numFmtId="0" fontId="3" fillId="3" borderId="38" xfId="0" applyFont="1" applyFill="1" applyBorder="1" applyAlignment="1">
      <alignment horizontal="center" wrapText="1"/>
    </xf>
    <xf numFmtId="0" fontId="3" fillId="3" borderId="0" xfId="0" applyFont="1" applyFill="1" applyBorder="1" applyAlignment="1">
      <alignment horizontal="center" wrapText="1"/>
    </xf>
    <xf numFmtId="0" fontId="8" fillId="3" borderId="0" xfId="0" applyFont="1" applyFill="1" applyBorder="1" applyAlignment="1">
      <alignment horizontal="center"/>
    </xf>
    <xf numFmtId="0" fontId="8" fillId="3" borderId="38" xfId="0" applyFont="1" applyFill="1" applyBorder="1" applyAlignment="1">
      <alignment horizontal="right"/>
    </xf>
    <xf numFmtId="0" fontId="8" fillId="3" borderId="0" xfId="0" applyFont="1" applyFill="1" applyBorder="1" applyAlignment="1">
      <alignment horizontal="right"/>
    </xf>
    <xf numFmtId="0" fontId="8" fillId="3" borderId="0" xfId="0" applyFont="1" applyFill="1" applyBorder="1" applyAlignment="1">
      <alignment horizontal="center" wrapText="1"/>
    </xf>
    <xf numFmtId="0" fontId="8" fillId="3" borderId="33" xfId="0" applyFont="1" applyFill="1" applyBorder="1" applyAlignment="1">
      <alignment horizontal="right"/>
    </xf>
    <xf numFmtId="0" fontId="8" fillId="3" borderId="7" xfId="0" applyFont="1" applyFill="1" applyBorder="1" applyAlignment="1">
      <alignment horizontal="right"/>
    </xf>
    <xf numFmtId="0" fontId="0" fillId="3" borderId="0" xfId="0" applyFill="1" applyBorder="1" applyAlignment="1">
      <alignment horizontal="center"/>
    </xf>
    <xf numFmtId="0" fontId="0" fillId="8" borderId="37" xfId="0" applyFill="1" applyBorder="1" applyProtection="1"/>
    <xf numFmtId="0" fontId="0" fillId="8" borderId="82" xfId="0" applyFill="1" applyBorder="1" applyProtection="1"/>
    <xf numFmtId="0" fontId="17" fillId="9" borderId="0" xfId="0" applyFont="1" applyFill="1" applyAlignment="1" applyProtection="1">
      <alignment wrapText="1"/>
    </xf>
    <xf numFmtId="0" fontId="2" fillId="2" borderId="57" xfId="0" applyFont="1" applyFill="1" applyBorder="1" applyAlignment="1">
      <alignment horizontal="center"/>
    </xf>
    <xf numFmtId="43" fontId="0" fillId="4" borderId="1" xfId="1" applyNumberFormat="1" applyFont="1" applyFill="1" applyBorder="1" applyProtection="1">
      <protection locked="0"/>
    </xf>
    <xf numFmtId="43" fontId="0" fillId="4" borderId="19" xfId="1" applyNumberFormat="1" applyFont="1" applyFill="1" applyBorder="1" applyProtection="1">
      <protection locked="0"/>
    </xf>
    <xf numFmtId="4" fontId="0" fillId="3" borderId="0" xfId="0" applyNumberFormat="1" applyFont="1" applyFill="1" applyBorder="1" applyAlignment="1">
      <alignment horizontal="right"/>
    </xf>
    <xf numFmtId="0" fontId="23" fillId="3" borderId="0" xfId="0" applyFont="1" applyFill="1" applyBorder="1" applyProtection="1"/>
    <xf numFmtId="0" fontId="16" fillId="3" borderId="0" xfId="0" applyFont="1" applyFill="1" applyBorder="1" applyAlignment="1" applyProtection="1">
      <alignment horizontal="left" vertical="center" wrapText="1"/>
    </xf>
    <xf numFmtId="0" fontId="16" fillId="3" borderId="52" xfId="0" applyFont="1" applyFill="1" applyBorder="1" applyAlignment="1" applyProtection="1">
      <alignment horizontal="left" vertical="center" wrapText="1"/>
    </xf>
    <xf numFmtId="0" fontId="23" fillId="3" borderId="83" xfId="0" applyFont="1" applyFill="1" applyBorder="1" applyAlignment="1" applyProtection="1">
      <alignment horizontal="right"/>
    </xf>
    <xf numFmtId="0" fontId="23" fillId="3" borderId="62" xfId="0" applyFont="1" applyFill="1" applyBorder="1" applyAlignment="1" applyProtection="1">
      <alignment horizontal="right"/>
    </xf>
    <xf numFmtId="0" fontId="17" fillId="9" borderId="0" xfId="0" applyFont="1" applyFill="1" applyAlignment="1" applyProtection="1">
      <alignment horizontal="left" wrapText="1"/>
    </xf>
    <xf numFmtId="0" fontId="15" fillId="9" borderId="0" xfId="0" applyFont="1" applyFill="1" applyBorder="1" applyAlignment="1">
      <alignment horizontal="center" wrapText="1"/>
    </xf>
    <xf numFmtId="0" fontId="0" fillId="3" borderId="0" xfId="0" applyFill="1" applyBorder="1" applyAlignment="1">
      <alignment horizontal="center"/>
    </xf>
    <xf numFmtId="0" fontId="23" fillId="9" borderId="0" xfId="0" applyFont="1" applyFill="1"/>
    <xf numFmtId="164" fontId="23" fillId="9" borderId="0" xfId="1" applyNumberFormat="1" applyFont="1" applyFill="1" applyBorder="1"/>
    <xf numFmtId="0" fontId="23" fillId="9" borderId="0" xfId="0" applyFont="1" applyFill="1" applyBorder="1"/>
    <xf numFmtId="164" fontId="23" fillId="9" borderId="0" xfId="0" applyNumberFormat="1" applyFont="1" applyFill="1"/>
    <xf numFmtId="0" fontId="14" fillId="6" borderId="0" xfId="0" applyFont="1" applyFill="1"/>
    <xf numFmtId="0" fontId="14" fillId="6" borderId="0" xfId="0" applyFont="1" applyFill="1" applyBorder="1" applyAlignment="1">
      <alignment wrapText="1"/>
    </xf>
    <xf numFmtId="0" fontId="14" fillId="6" borderId="0" xfId="0" applyFont="1" applyFill="1" applyBorder="1"/>
    <xf numFmtId="0" fontId="14" fillId="6" borderId="0" xfId="0" applyFont="1" applyFill="1" applyBorder="1" applyAlignment="1">
      <alignment horizontal="center" wrapText="1"/>
    </xf>
    <xf numFmtId="0" fontId="23" fillId="6" borderId="0" xfId="0" applyFont="1" applyFill="1"/>
    <xf numFmtId="0" fontId="19" fillId="6" borderId="0" xfId="0" applyFont="1" applyFill="1" applyBorder="1"/>
    <xf numFmtId="0" fontId="19" fillId="6" borderId="0" xfId="0" applyFont="1" applyFill="1" applyBorder="1" applyAlignment="1">
      <alignment wrapText="1"/>
    </xf>
    <xf numFmtId="0" fontId="19" fillId="6" borderId="0" xfId="0" applyFont="1" applyFill="1"/>
    <xf numFmtId="0" fontId="15" fillId="6" borderId="0" xfId="0" applyFont="1" applyFill="1" applyBorder="1" applyAlignment="1">
      <alignment horizontal="center" wrapText="1"/>
    </xf>
    <xf numFmtId="0" fontId="19" fillId="6" borderId="0" xfId="0" applyFont="1" applyFill="1" applyBorder="1" applyAlignment="1">
      <alignment horizontal="center" wrapText="1"/>
    </xf>
    <xf numFmtId="164" fontId="23" fillId="6" borderId="0" xfId="1" applyNumberFormat="1" applyFont="1" applyFill="1" applyBorder="1"/>
    <xf numFmtId="0" fontId="23" fillId="6" borderId="0" xfId="0" applyFont="1" applyFill="1" applyBorder="1"/>
    <xf numFmtId="164" fontId="23" fillId="6" borderId="0" xfId="0" applyNumberFormat="1" applyFont="1" applyFill="1"/>
    <xf numFmtId="0" fontId="15" fillId="6" borderId="0" xfId="0" applyFont="1" applyFill="1" applyBorder="1"/>
    <xf numFmtId="0" fontId="14" fillId="6" borderId="0" xfId="0" applyFont="1" applyFill="1" applyBorder="1" applyAlignment="1"/>
    <xf numFmtId="0" fontId="14" fillId="6" borderId="0" xfId="0" applyFont="1" applyFill="1" applyAlignment="1"/>
    <xf numFmtId="4" fontId="0" fillId="3" borderId="36" xfId="1" applyNumberFormat="1" applyFont="1" applyFill="1" applyBorder="1"/>
    <xf numFmtId="3" fontId="0" fillId="3" borderId="36" xfId="1" applyNumberFormat="1" applyFont="1" applyFill="1" applyBorder="1"/>
    <xf numFmtId="3" fontId="0" fillId="3" borderId="45" xfId="1" applyNumberFormat="1" applyFont="1" applyFill="1" applyBorder="1"/>
    <xf numFmtId="3" fontId="0" fillId="3" borderId="52" xfId="1" applyNumberFormat="1" applyFont="1" applyFill="1" applyBorder="1"/>
    <xf numFmtId="3" fontId="0" fillId="3" borderId="42" xfId="1" applyNumberFormat="1" applyFont="1" applyFill="1" applyBorder="1" applyAlignment="1">
      <alignment horizontal="center" vertical="center"/>
    </xf>
    <xf numFmtId="4" fontId="1" fillId="3" borderId="39" xfId="1" applyNumberFormat="1" applyFont="1" applyFill="1" applyBorder="1"/>
    <xf numFmtId="4" fontId="1" fillId="3" borderId="26" xfId="1" applyNumberFormat="1" applyFont="1" applyFill="1" applyBorder="1" applyAlignment="1">
      <alignment vertical="center"/>
    </xf>
    <xf numFmtId="39" fontId="1" fillId="3" borderId="39" xfId="1" applyNumberFormat="1" applyFont="1" applyFill="1" applyBorder="1"/>
    <xf numFmtId="39" fontId="1" fillId="3" borderId="26" xfId="1" applyNumberFormat="1" applyFont="1" applyFill="1" applyBorder="1"/>
    <xf numFmtId="39" fontId="3" fillId="3" borderId="10" xfId="1" applyNumberFormat="1" applyFont="1" applyFill="1" applyBorder="1" applyAlignment="1">
      <alignment horizontal="right"/>
    </xf>
    <xf numFmtId="37" fontId="0" fillId="3" borderId="52" xfId="1" applyNumberFormat="1" applyFont="1" applyFill="1" applyBorder="1"/>
    <xf numFmtId="37" fontId="3" fillId="3" borderId="55" xfId="1" applyNumberFormat="1" applyFont="1" applyFill="1" applyBorder="1" applyAlignment="1">
      <alignment horizontal="right"/>
    </xf>
    <xf numFmtId="39" fontId="3" fillId="3" borderId="13" xfId="1" applyNumberFormat="1" applyFont="1" applyFill="1" applyBorder="1" applyAlignment="1">
      <alignment horizontal="right"/>
    </xf>
    <xf numFmtId="37" fontId="0" fillId="3" borderId="36" xfId="1" applyNumberFormat="1" applyFont="1" applyFill="1" applyBorder="1"/>
    <xf numFmtId="37" fontId="0" fillId="3" borderId="0" xfId="1" applyNumberFormat="1" applyFont="1" applyFill="1"/>
    <xf numFmtId="39" fontId="1" fillId="3" borderId="26" xfId="1" applyNumberFormat="1" applyFont="1" applyFill="1" applyBorder="1" applyAlignment="1">
      <alignment vertical="center"/>
    </xf>
    <xf numFmtId="37" fontId="0" fillId="3" borderId="42" xfId="1" applyNumberFormat="1" applyFont="1" applyFill="1" applyBorder="1" applyAlignment="1">
      <alignment horizontal="right" vertical="center"/>
    </xf>
    <xf numFmtId="3" fontId="0" fillId="3" borderId="42" xfId="1" applyNumberFormat="1" applyFont="1" applyFill="1" applyBorder="1" applyAlignment="1">
      <alignment horizontal="right" vertical="center"/>
    </xf>
    <xf numFmtId="37" fontId="0" fillId="3" borderId="45" xfId="1" applyNumberFormat="1" applyFont="1" applyFill="1" applyBorder="1"/>
    <xf numFmtId="37" fontId="0" fillId="3" borderId="39" xfId="1" applyNumberFormat="1" applyFont="1" applyFill="1" applyBorder="1"/>
    <xf numFmtId="37" fontId="0" fillId="3" borderId="26" xfId="1" applyNumberFormat="1" applyFont="1" applyFill="1" applyBorder="1"/>
    <xf numFmtId="37" fontId="0" fillId="3" borderId="10" xfId="1" applyNumberFormat="1" applyFont="1" applyFill="1" applyBorder="1"/>
    <xf numFmtId="37" fontId="0" fillId="3" borderId="10" xfId="1" applyNumberFormat="1" applyFont="1" applyFill="1" applyBorder="1" applyAlignment="1">
      <alignment horizontal="right"/>
    </xf>
    <xf numFmtId="37" fontId="0" fillId="3" borderId="44" xfId="1" applyNumberFormat="1" applyFont="1" applyFill="1" applyBorder="1" applyAlignment="1">
      <alignment horizontal="right" vertical="center"/>
    </xf>
    <xf numFmtId="37" fontId="0" fillId="3" borderId="44" xfId="1" applyNumberFormat="1" applyFont="1" applyFill="1" applyBorder="1"/>
    <xf numFmtId="37" fontId="0" fillId="3" borderId="45" xfId="1" applyNumberFormat="1" applyFont="1" applyFill="1" applyBorder="1" applyAlignment="1">
      <alignment vertical="center"/>
    </xf>
    <xf numFmtId="0" fontId="0" fillId="3" borderId="0" xfId="1" applyNumberFormat="1" applyFont="1" applyFill="1" applyBorder="1"/>
    <xf numFmtId="0" fontId="15" fillId="6" borderId="0" xfId="0" applyFont="1" applyFill="1" applyBorder="1" applyAlignment="1">
      <alignment horizontal="center" wrapText="1"/>
    </xf>
    <xf numFmtId="0" fontId="15" fillId="6" borderId="0" xfId="0" applyFont="1" applyFill="1"/>
    <xf numFmtId="164" fontId="14" fillId="6" borderId="0" xfId="0" applyNumberFormat="1" applyFont="1" applyFill="1"/>
    <xf numFmtId="0" fontId="9" fillId="6" borderId="0" xfId="0" applyFont="1" applyFill="1"/>
    <xf numFmtId="9" fontId="0" fillId="11" borderId="17" xfId="2" applyFont="1" applyFill="1" applyBorder="1" applyProtection="1">
      <protection locked="0"/>
    </xf>
    <xf numFmtId="9" fontId="0" fillId="11" borderId="90" xfId="2" applyFont="1" applyFill="1" applyBorder="1" applyProtection="1">
      <protection locked="0"/>
    </xf>
    <xf numFmtId="0" fontId="0" fillId="7" borderId="19" xfId="0" applyFill="1" applyBorder="1" applyAlignment="1" applyProtection="1">
      <alignment horizontal="center"/>
      <protection locked="0"/>
    </xf>
    <xf numFmtId="9" fontId="0" fillId="11" borderId="91" xfId="2" applyFont="1" applyFill="1" applyBorder="1" applyProtection="1">
      <protection locked="0"/>
    </xf>
    <xf numFmtId="9" fontId="0" fillId="11" borderId="65" xfId="2" applyFont="1" applyFill="1" applyBorder="1" applyProtection="1">
      <protection locked="0"/>
    </xf>
    <xf numFmtId="0" fontId="15" fillId="6" borderId="0" xfId="0" applyFont="1" applyFill="1" applyBorder="1" applyAlignment="1">
      <alignment wrapText="1"/>
    </xf>
    <xf numFmtId="164" fontId="14" fillId="6" borderId="0" xfId="1" applyNumberFormat="1" applyFont="1" applyFill="1" applyBorder="1"/>
    <xf numFmtId="39" fontId="0" fillId="3" borderId="10" xfId="1" applyNumberFormat="1" applyFont="1" applyFill="1" applyBorder="1"/>
    <xf numFmtId="39" fontId="2" fillId="2" borderId="53" xfId="1" applyNumberFormat="1" applyFont="1" applyFill="1" applyBorder="1" applyAlignment="1">
      <alignment horizontal="right"/>
    </xf>
    <xf numFmtId="39" fontId="2" fillId="2" borderId="24" xfId="1" applyNumberFormat="1" applyFont="1" applyFill="1" applyBorder="1" applyAlignment="1">
      <alignment horizontal="right"/>
    </xf>
    <xf numFmtId="37" fontId="2" fillId="2" borderId="53" xfId="1" applyNumberFormat="1" applyFont="1" applyFill="1" applyBorder="1" applyAlignment="1">
      <alignment horizontal="right"/>
    </xf>
    <xf numFmtId="3" fontId="2" fillId="2" borderId="53" xfId="1" applyNumberFormat="1" applyFont="1" applyFill="1" applyBorder="1" applyAlignment="1">
      <alignment horizontal="right"/>
    </xf>
    <xf numFmtId="3" fontId="0" fillId="3" borderId="0" xfId="0" applyNumberFormat="1" applyFill="1"/>
    <xf numFmtId="3" fontId="2" fillId="2" borderId="40" xfId="0" applyNumberFormat="1" applyFont="1" applyFill="1" applyBorder="1" applyAlignment="1"/>
    <xf numFmtId="3" fontId="8" fillId="3" borderId="78" xfId="0" applyNumberFormat="1" applyFont="1" applyFill="1" applyBorder="1" applyAlignment="1">
      <alignment horizontal="right"/>
    </xf>
    <xf numFmtId="3" fontId="1" fillId="3" borderId="52" xfId="1" applyNumberFormat="1" applyFont="1" applyFill="1" applyBorder="1"/>
    <xf numFmtId="3" fontId="1" fillId="3" borderId="45" xfId="1" applyNumberFormat="1" applyFont="1" applyFill="1" applyBorder="1"/>
    <xf numFmtId="3" fontId="8" fillId="3" borderId="2" xfId="0" applyNumberFormat="1" applyFont="1" applyFill="1" applyBorder="1" applyAlignment="1">
      <alignment horizontal="right"/>
    </xf>
    <xf numFmtId="3" fontId="3" fillId="3" borderId="52" xfId="1" applyNumberFormat="1" applyFont="1" applyFill="1" applyBorder="1"/>
    <xf numFmtId="3" fontId="8" fillId="3" borderId="2" xfId="1" applyNumberFormat="1" applyFont="1" applyFill="1" applyBorder="1" applyAlignment="1">
      <alignment horizontal="right"/>
    </xf>
    <xf numFmtId="3" fontId="3" fillId="3" borderId="55" xfId="1" applyNumberFormat="1" applyFont="1" applyFill="1" applyBorder="1"/>
    <xf numFmtId="3" fontId="2" fillId="2" borderId="40" xfId="1" applyNumberFormat="1" applyFont="1" applyFill="1" applyBorder="1" applyAlignment="1"/>
    <xf numFmtId="3" fontId="3" fillId="3" borderId="0" xfId="1" applyNumberFormat="1" applyFont="1" applyFill="1" applyBorder="1"/>
    <xf numFmtId="3" fontId="8" fillId="3" borderId="52" xfId="1" applyNumberFormat="1" applyFont="1" applyFill="1" applyBorder="1" applyAlignment="1">
      <alignment horizontal="right"/>
    </xf>
    <xf numFmtId="3" fontId="3" fillId="3" borderId="52" xfId="1" applyNumberFormat="1" applyFont="1" applyFill="1" applyBorder="1" applyAlignment="1">
      <alignment horizontal="right"/>
    </xf>
    <xf numFmtId="3" fontId="0" fillId="3" borderId="42" xfId="1" applyNumberFormat="1" applyFont="1" applyFill="1" applyBorder="1"/>
    <xf numFmtId="3" fontId="3" fillId="3" borderId="55" xfId="1" applyNumberFormat="1" applyFont="1" applyFill="1" applyBorder="1" applyAlignment="1">
      <alignment horizontal="right"/>
    </xf>
    <xf numFmtId="3" fontId="0" fillId="3" borderId="0" xfId="1" applyNumberFormat="1" applyFont="1" applyFill="1"/>
    <xf numFmtId="3" fontId="0" fillId="5" borderId="0" xfId="0" applyNumberFormat="1" applyFill="1"/>
    <xf numFmtId="3" fontId="2" fillId="2" borderId="47" xfId="0" applyNumberFormat="1" applyFont="1" applyFill="1" applyBorder="1" applyAlignment="1"/>
    <xf numFmtId="3" fontId="2" fillId="2" borderId="71" xfId="1" applyNumberFormat="1" applyFont="1" applyFill="1" applyBorder="1" applyAlignment="1"/>
    <xf numFmtId="3" fontId="2" fillId="2" borderId="68" xfId="0" applyNumberFormat="1" applyFont="1" applyFill="1" applyBorder="1" applyAlignment="1"/>
    <xf numFmtId="3" fontId="0" fillId="5" borderId="0" xfId="0" applyNumberFormat="1" applyFill="1" applyBorder="1"/>
    <xf numFmtId="4" fontId="0" fillId="3" borderId="10" xfId="1" applyNumberFormat="1" applyFont="1" applyFill="1" applyBorder="1"/>
    <xf numFmtId="4" fontId="2" fillId="2" borderId="24" xfId="1" applyNumberFormat="1" applyFont="1" applyFill="1" applyBorder="1" applyAlignment="1">
      <alignment horizontal="right"/>
    </xf>
    <xf numFmtId="4" fontId="0" fillId="3" borderId="0" xfId="0" applyNumberFormat="1" applyFill="1"/>
    <xf numFmtId="4" fontId="2" fillId="2" borderId="57" xfId="0" applyNumberFormat="1" applyFont="1" applyFill="1" applyBorder="1" applyAlignment="1">
      <alignment horizontal="center" vertical="center" wrapText="1"/>
    </xf>
    <xf numFmtId="4" fontId="8" fillId="10" borderId="8" xfId="0" applyNumberFormat="1" applyFont="1" applyFill="1" applyBorder="1" applyAlignment="1">
      <alignment horizontal="right"/>
    </xf>
    <xf numFmtId="4" fontId="1" fillId="10" borderId="10" xfId="1" applyNumberFormat="1" applyFont="1" applyFill="1" applyBorder="1"/>
    <xf numFmtId="4" fontId="1" fillId="10" borderId="44" xfId="1" applyNumberFormat="1" applyFont="1" applyFill="1" applyBorder="1"/>
    <xf numFmtId="4" fontId="0" fillId="3" borderId="10" xfId="0" applyNumberFormat="1" applyFill="1" applyBorder="1"/>
    <xf numFmtId="4" fontId="8" fillId="3" borderId="61" xfId="0" applyNumberFormat="1" applyFont="1" applyFill="1" applyBorder="1" applyAlignment="1">
      <alignment horizontal="right"/>
    </xf>
    <xf numFmtId="4" fontId="1" fillId="3" borderId="26" xfId="1" applyNumberFormat="1" applyFont="1" applyFill="1" applyBorder="1"/>
    <xf numFmtId="4" fontId="3" fillId="3" borderId="10" xfId="1" applyNumberFormat="1" applyFont="1" applyFill="1" applyBorder="1"/>
    <xf numFmtId="4" fontId="8" fillId="3" borderId="61" xfId="1" applyNumberFormat="1" applyFont="1" applyFill="1" applyBorder="1" applyAlignment="1">
      <alignment horizontal="right"/>
    </xf>
    <xf numFmtId="4" fontId="3" fillId="3" borderId="13" xfId="1" applyNumberFormat="1" applyFont="1" applyFill="1" applyBorder="1"/>
    <xf numFmtId="4" fontId="2" fillId="2" borderId="57" xfId="0" applyNumberFormat="1" applyFont="1" applyFill="1" applyBorder="1" applyAlignment="1"/>
    <xf numFmtId="4" fontId="3" fillId="3" borderId="0" xfId="1" applyNumberFormat="1" applyFont="1" applyFill="1" applyBorder="1"/>
    <xf numFmtId="4" fontId="8" fillId="3" borderId="10" xfId="0" applyNumberFormat="1" applyFont="1" applyFill="1" applyBorder="1" applyAlignment="1">
      <alignment horizontal="right"/>
    </xf>
    <xf numFmtId="4" fontId="3" fillId="3" borderId="10" xfId="1" applyNumberFormat="1" applyFont="1" applyFill="1" applyBorder="1" applyAlignment="1">
      <alignment horizontal="right"/>
    </xf>
    <xf numFmtId="4" fontId="3" fillId="3" borderId="13" xfId="1" applyNumberFormat="1" applyFont="1" applyFill="1" applyBorder="1" applyAlignment="1">
      <alignment horizontal="right"/>
    </xf>
    <xf numFmtId="4" fontId="2" fillId="2" borderId="40" xfId="0" applyNumberFormat="1" applyFont="1" applyFill="1" applyBorder="1" applyAlignment="1"/>
    <xf numFmtId="4" fontId="0" fillId="5" borderId="0" xfId="0" applyNumberFormat="1" applyFill="1"/>
    <xf numFmtId="4" fontId="2" fillId="2" borderId="59" xfId="0" applyNumberFormat="1" applyFont="1" applyFill="1" applyBorder="1" applyAlignment="1">
      <alignment horizontal="center" vertical="center" wrapText="1"/>
    </xf>
    <xf numFmtId="4" fontId="2" fillId="2" borderId="71" xfId="1" applyNumberFormat="1" applyFont="1" applyFill="1" applyBorder="1" applyAlignment="1"/>
    <xf numFmtId="4" fontId="2" fillId="2" borderId="67" xfId="0" applyNumberFormat="1" applyFont="1" applyFill="1" applyBorder="1" applyAlignment="1">
      <alignment horizontal="center" vertical="center" wrapText="1"/>
    </xf>
    <xf numFmtId="4" fontId="2" fillId="2" borderId="72" xfId="1" applyNumberFormat="1" applyFont="1" applyFill="1" applyBorder="1" applyAlignment="1"/>
    <xf numFmtId="4" fontId="0" fillId="5" borderId="10" xfId="0" applyNumberFormat="1" applyFill="1" applyBorder="1"/>
    <xf numFmtId="4" fontId="2" fillId="2" borderId="57" xfId="1" applyNumberFormat="1" applyFont="1" applyFill="1" applyBorder="1" applyAlignment="1"/>
    <xf numFmtId="37" fontId="2" fillId="2" borderId="40" xfId="1" applyNumberFormat="1" applyFont="1" applyFill="1" applyBorder="1" applyAlignment="1">
      <alignment horizontal="right"/>
    </xf>
    <xf numFmtId="37" fontId="2" fillId="2" borderId="40" xfId="0" applyNumberFormat="1" applyFont="1" applyFill="1" applyBorder="1" applyAlignment="1">
      <alignment horizontal="center" wrapText="1"/>
    </xf>
    <xf numFmtId="37" fontId="8" fillId="3" borderId="32" xfId="1" applyNumberFormat="1" applyFont="1" applyFill="1" applyBorder="1" applyAlignment="1">
      <alignment horizontal="right"/>
    </xf>
    <xf numFmtId="37" fontId="3" fillId="3" borderId="0" xfId="1" applyNumberFormat="1" applyFont="1" applyFill="1" applyBorder="1" applyAlignment="1">
      <alignment horizontal="right"/>
    </xf>
    <xf numFmtId="37" fontId="8" fillId="3" borderId="62" xfId="0" applyNumberFormat="1" applyFont="1" applyFill="1" applyBorder="1" applyAlignment="1">
      <alignment horizontal="right"/>
    </xf>
    <xf numFmtId="37" fontId="8" fillId="3" borderId="2" xfId="1" applyNumberFormat="1" applyFont="1" applyFill="1" applyBorder="1" applyAlignment="1">
      <alignment horizontal="right"/>
    </xf>
    <xf numFmtId="37" fontId="3" fillId="3" borderId="12" xfId="1" applyNumberFormat="1" applyFont="1" applyFill="1" applyBorder="1" applyAlignment="1">
      <alignment horizontal="right"/>
    </xf>
    <xf numFmtId="37" fontId="2" fillId="2" borderId="47" xfId="0" applyNumberFormat="1" applyFont="1" applyFill="1" applyBorder="1" applyAlignment="1">
      <alignment horizontal="center" wrapText="1"/>
    </xf>
    <xf numFmtId="37" fontId="8" fillId="3" borderId="33" xfId="1" applyNumberFormat="1" applyFont="1" applyFill="1" applyBorder="1" applyAlignment="1">
      <alignment horizontal="right"/>
    </xf>
    <xf numFmtId="37" fontId="8" fillId="3" borderId="56" xfId="1" applyNumberFormat="1" applyFont="1" applyFill="1" applyBorder="1" applyAlignment="1">
      <alignment horizontal="right"/>
    </xf>
    <xf numFmtId="37" fontId="2" fillId="3" borderId="0" xfId="1" applyNumberFormat="1" applyFont="1" applyFill="1" applyBorder="1" applyAlignment="1">
      <alignment horizontal="right"/>
    </xf>
    <xf numFmtId="37" fontId="12" fillId="3" borderId="0" xfId="0" applyNumberFormat="1" applyFont="1" applyFill="1"/>
    <xf numFmtId="37" fontId="2" fillId="2" borderId="71" xfId="1" applyNumberFormat="1" applyFont="1" applyFill="1" applyBorder="1" applyAlignment="1">
      <alignment horizontal="right"/>
    </xf>
    <xf numFmtId="37" fontId="2" fillId="2" borderId="68" xfId="0" applyNumberFormat="1" applyFont="1" applyFill="1" applyBorder="1" applyAlignment="1">
      <alignment horizontal="center" wrapText="1"/>
    </xf>
    <xf numFmtId="37" fontId="2" fillId="2" borderId="69" xfId="1" applyNumberFormat="1" applyFont="1" applyFill="1" applyBorder="1" applyAlignment="1">
      <alignment horizontal="right"/>
    </xf>
    <xf numFmtId="37" fontId="2" fillId="2" borderId="70" xfId="1" applyNumberFormat="1" applyFont="1" applyFill="1" applyBorder="1" applyAlignment="1">
      <alignment horizontal="right"/>
    </xf>
    <xf numFmtId="4" fontId="0" fillId="3" borderId="45" xfId="0" applyNumberFormat="1" applyFill="1" applyBorder="1" applyAlignment="1">
      <alignment vertical="center"/>
    </xf>
    <xf numFmtId="4" fontId="3" fillId="3" borderId="0" xfId="1" applyNumberFormat="1" applyFont="1" applyFill="1" applyBorder="1" applyAlignment="1">
      <alignment horizontal="right"/>
    </xf>
    <xf numFmtId="4" fontId="0" fillId="3" borderId="0" xfId="0" applyNumberFormat="1" applyFill="1" applyBorder="1"/>
    <xf numFmtId="4" fontId="8" fillId="3" borderId="62" xfId="0" applyNumberFormat="1" applyFont="1" applyFill="1" applyBorder="1" applyAlignment="1">
      <alignment horizontal="right"/>
    </xf>
    <xf numFmtId="4" fontId="3" fillId="3" borderId="12" xfId="0" applyNumberFormat="1" applyFont="1" applyFill="1" applyBorder="1" applyAlignment="1">
      <alignment horizontal="right"/>
    </xf>
    <xf numFmtId="4" fontId="2" fillId="2" borderId="40" xfId="0" applyNumberFormat="1" applyFont="1" applyFill="1" applyBorder="1" applyAlignment="1">
      <alignment horizontal="right"/>
    </xf>
    <xf numFmtId="4" fontId="3" fillId="3" borderId="0" xfId="0" applyNumberFormat="1" applyFont="1" applyFill="1" applyBorder="1" applyAlignment="1">
      <alignment horizontal="right"/>
    </xf>
    <xf numFmtId="4" fontId="2" fillId="2" borderId="47" xfId="0" applyNumberFormat="1" applyFont="1" applyFill="1" applyBorder="1" applyAlignment="1">
      <alignment horizontal="center"/>
    </xf>
    <xf numFmtId="4" fontId="8" fillId="3" borderId="33" xfId="0" applyNumberFormat="1" applyFont="1" applyFill="1" applyBorder="1" applyAlignment="1">
      <alignment horizontal="right"/>
    </xf>
    <xf numFmtId="4" fontId="0" fillId="3" borderId="36" xfId="0" applyNumberFormat="1" applyFill="1" applyBorder="1"/>
    <xf numFmtId="4" fontId="0" fillId="3" borderId="45" xfId="0" applyNumberFormat="1" applyFill="1" applyBorder="1"/>
    <xf numFmtId="4" fontId="8" fillId="3" borderId="56" xfId="0" applyNumberFormat="1" applyFont="1" applyFill="1" applyBorder="1" applyAlignment="1">
      <alignment horizontal="right"/>
    </xf>
    <xf numFmtId="4" fontId="2" fillId="3" borderId="0" xfId="0" applyNumberFormat="1" applyFont="1" applyFill="1" applyBorder="1" applyAlignment="1">
      <alignment horizontal="right"/>
    </xf>
    <xf numFmtId="4" fontId="12" fillId="3" borderId="0" xfId="0" applyNumberFormat="1" applyFont="1" applyFill="1"/>
    <xf numFmtId="4" fontId="0" fillId="3" borderId="48" xfId="0" applyNumberFormat="1" applyFill="1" applyBorder="1"/>
    <xf numFmtId="4" fontId="2" fillId="2" borderId="71" xfId="0" applyNumberFormat="1" applyFont="1" applyFill="1" applyBorder="1" applyAlignment="1">
      <alignment horizontal="right"/>
    </xf>
    <xf numFmtId="4" fontId="2" fillId="2" borderId="68" xfId="0" applyNumberFormat="1" applyFont="1" applyFill="1" applyBorder="1" applyAlignment="1">
      <alignment horizontal="center"/>
    </xf>
    <xf numFmtId="4" fontId="2" fillId="2" borderId="69" xfId="1" applyNumberFormat="1" applyFont="1" applyFill="1" applyBorder="1" applyAlignment="1">
      <alignment horizontal="right"/>
    </xf>
    <xf numFmtId="39" fontId="0" fillId="3" borderId="39" xfId="1" applyNumberFormat="1" applyFont="1" applyFill="1" applyBorder="1"/>
    <xf numFmtId="39" fontId="0" fillId="3" borderId="26" xfId="0" applyNumberFormat="1" applyFont="1" applyFill="1" applyBorder="1" applyAlignment="1">
      <alignment vertical="center"/>
    </xf>
    <xf numFmtId="39" fontId="3" fillId="3" borderId="10" xfId="0" applyNumberFormat="1" applyFont="1" applyFill="1" applyBorder="1" applyAlignment="1">
      <alignment horizontal="right"/>
    </xf>
    <xf numFmtId="39" fontId="8" fillId="3" borderId="60" xfId="0" applyNumberFormat="1" applyFont="1" applyFill="1" applyBorder="1" applyAlignment="1">
      <alignment horizontal="right"/>
    </xf>
    <xf numFmtId="39" fontId="0" fillId="3" borderId="10" xfId="0" applyNumberFormat="1" applyFill="1" applyBorder="1"/>
    <xf numFmtId="39" fontId="3" fillId="3" borderId="13" xfId="1" applyNumberFormat="1" applyFont="1" applyFill="1" applyBorder="1"/>
    <xf numFmtId="39" fontId="2" fillId="2" borderId="57" xfId="0" applyNumberFormat="1" applyFont="1" applyFill="1" applyBorder="1" applyAlignment="1">
      <alignment horizontal="right"/>
    </xf>
    <xf numFmtId="39" fontId="3" fillId="3" borderId="0" xfId="0" applyNumberFormat="1" applyFont="1" applyFill="1" applyBorder="1"/>
    <xf numFmtId="39" fontId="2" fillId="2" borderId="59" xfId="0" applyNumberFormat="1" applyFont="1" applyFill="1" applyBorder="1" applyAlignment="1">
      <alignment horizontal="center" wrapText="1"/>
    </xf>
    <xf numFmtId="39" fontId="8" fillId="3" borderId="31" xfId="0" applyNumberFormat="1" applyFont="1" applyFill="1" applyBorder="1" applyAlignment="1">
      <alignment horizontal="right"/>
    </xf>
    <xf numFmtId="39" fontId="0" fillId="3" borderId="10" xfId="0" applyNumberFormat="1" applyFont="1" applyFill="1" applyBorder="1"/>
    <xf numFmtId="39" fontId="0" fillId="3" borderId="26" xfId="0" applyNumberFormat="1" applyFont="1" applyFill="1" applyBorder="1"/>
    <xf numFmtId="39" fontId="3" fillId="3" borderId="10" xfId="0" applyNumberFormat="1" applyFont="1" applyFill="1" applyBorder="1"/>
    <xf numFmtId="39" fontId="2" fillId="3" borderId="0" xfId="0" applyNumberFormat="1" applyFont="1" applyFill="1" applyBorder="1" applyAlignment="1">
      <alignment horizontal="right"/>
    </xf>
    <xf numFmtId="39" fontId="12" fillId="3" borderId="0" xfId="0" applyNumberFormat="1" applyFont="1" applyFill="1"/>
    <xf numFmtId="39" fontId="0" fillId="3" borderId="13" xfId="0" applyNumberFormat="1" applyFont="1" applyFill="1" applyBorder="1"/>
    <xf numFmtId="39" fontId="2" fillId="2" borderId="72" xfId="0" applyNumberFormat="1" applyFont="1" applyFill="1" applyBorder="1" applyAlignment="1">
      <alignment horizontal="right"/>
    </xf>
    <xf numFmtId="39" fontId="2" fillId="2" borderId="67" xfId="0" applyNumberFormat="1" applyFont="1" applyFill="1" applyBorder="1" applyAlignment="1">
      <alignment horizontal="center" wrapText="1"/>
    </xf>
    <xf numFmtId="39" fontId="2" fillId="2" borderId="69" xfId="1" applyNumberFormat="1" applyFont="1" applyFill="1" applyBorder="1" applyAlignment="1">
      <alignment horizontal="right"/>
    </xf>
    <xf numFmtId="39" fontId="0" fillId="3" borderId="0" xfId="1" applyNumberFormat="1" applyFont="1" applyFill="1" applyBorder="1"/>
    <xf numFmtId="3" fontId="0" fillId="3" borderId="39" xfId="1" applyNumberFormat="1" applyFont="1" applyFill="1" applyBorder="1"/>
    <xf numFmtId="3" fontId="2" fillId="2" borderId="57" xfId="1" applyNumberFormat="1" applyFont="1" applyFill="1" applyBorder="1" applyAlignment="1">
      <alignment horizontal="right"/>
    </xf>
    <xf numFmtId="3" fontId="2" fillId="2" borderId="59" xfId="0" applyNumberFormat="1" applyFont="1" applyFill="1" applyBorder="1" applyAlignment="1">
      <alignment horizontal="center" wrapText="1"/>
    </xf>
    <xf numFmtId="3" fontId="8" fillId="3" borderId="31" xfId="1" applyNumberFormat="1" applyFont="1" applyFill="1" applyBorder="1" applyAlignment="1">
      <alignment horizontal="right"/>
    </xf>
    <xf numFmtId="3" fontId="0" fillId="3" borderId="17" xfId="1" applyNumberFormat="1" applyFont="1" applyFill="1" applyBorder="1"/>
    <xf numFmtId="3" fontId="0" fillId="3" borderId="10" xfId="1" applyNumberFormat="1" applyFont="1" applyFill="1" applyBorder="1"/>
    <xf numFmtId="3" fontId="8" fillId="3" borderId="60" xfId="0" applyNumberFormat="1" applyFont="1" applyFill="1" applyBorder="1" applyAlignment="1">
      <alignment horizontal="right"/>
    </xf>
    <xf numFmtId="3" fontId="0" fillId="3" borderId="26" xfId="1" applyNumberFormat="1" applyFont="1" applyFill="1" applyBorder="1"/>
    <xf numFmtId="3" fontId="3" fillId="3" borderId="80" xfId="1" applyNumberFormat="1" applyFont="1" applyFill="1" applyBorder="1" applyAlignment="1">
      <alignment horizontal="right"/>
    </xf>
    <xf numFmtId="3" fontId="8" fillId="3" borderId="60" xfId="1" applyNumberFormat="1" applyFont="1" applyFill="1" applyBorder="1" applyAlignment="1">
      <alignment horizontal="right"/>
    </xf>
    <xf numFmtId="3" fontId="0" fillId="3" borderId="26" xfId="1" applyNumberFormat="1" applyFont="1" applyFill="1" applyBorder="1" applyAlignment="1">
      <alignment vertical="center"/>
    </xf>
    <xf numFmtId="3" fontId="3" fillId="3" borderId="13" xfId="1" applyNumberFormat="1" applyFont="1" applyFill="1" applyBorder="1" applyAlignment="1">
      <alignment horizontal="right"/>
    </xf>
    <xf numFmtId="3" fontId="3" fillId="3" borderId="0" xfId="1" applyNumberFormat="1" applyFont="1" applyFill="1" applyBorder="1" applyAlignment="1">
      <alignment horizontal="right"/>
    </xf>
    <xf numFmtId="37" fontId="2" fillId="2" borderId="57" xfId="1" applyNumberFormat="1" applyFont="1" applyFill="1" applyBorder="1" applyAlignment="1">
      <alignment horizontal="right"/>
    </xf>
    <xf numFmtId="3" fontId="0" fillId="3" borderId="0" xfId="1" applyNumberFormat="1" applyFont="1" applyFill="1" applyBorder="1"/>
    <xf numFmtId="37" fontId="0" fillId="3" borderId="0" xfId="0" applyNumberFormat="1" applyFill="1"/>
    <xf numFmtId="37" fontId="2" fillId="2" borderId="40" xfId="0" applyNumberFormat="1" applyFont="1" applyFill="1" applyBorder="1" applyAlignment="1"/>
    <xf numFmtId="37" fontId="8" fillId="3" borderId="78" xfId="0" applyNumberFormat="1" applyFont="1" applyFill="1" applyBorder="1" applyAlignment="1">
      <alignment horizontal="right"/>
    </xf>
    <xf numFmtId="37" fontId="1" fillId="3" borderId="52" xfId="1" applyNumberFormat="1" applyFont="1" applyFill="1" applyBorder="1"/>
    <xf numFmtId="37" fontId="1" fillId="3" borderId="45" xfId="1" applyNumberFormat="1" applyFont="1" applyFill="1" applyBorder="1"/>
    <xf numFmtId="37" fontId="0" fillId="3" borderId="0" xfId="0" applyNumberFormat="1" applyFill="1" applyBorder="1"/>
    <xf numFmtId="37" fontId="8" fillId="3" borderId="2" xfId="0" applyNumberFormat="1" applyFont="1" applyFill="1" applyBorder="1" applyAlignment="1">
      <alignment horizontal="right"/>
    </xf>
    <xf numFmtId="37" fontId="3" fillId="3" borderId="52" xfId="1" applyNumberFormat="1" applyFont="1" applyFill="1" applyBorder="1"/>
    <xf numFmtId="37" fontId="0" fillId="3" borderId="52" xfId="1" applyNumberFormat="1" applyFont="1" applyFill="1" applyBorder="1" applyAlignment="1">
      <alignment horizontal="right"/>
    </xf>
    <xf numFmtId="37" fontId="3" fillId="3" borderId="55" xfId="1" applyNumberFormat="1" applyFont="1" applyFill="1" applyBorder="1"/>
    <xf numFmtId="37" fontId="2" fillId="2" borderId="40" xfId="1" applyNumberFormat="1" applyFont="1" applyFill="1" applyBorder="1" applyAlignment="1"/>
    <xf numFmtId="37" fontId="3" fillId="3" borderId="0" xfId="1" applyNumberFormat="1" applyFont="1" applyFill="1" applyBorder="1"/>
    <xf numFmtId="37" fontId="8" fillId="3" borderId="52" xfId="1" applyNumberFormat="1" applyFont="1" applyFill="1" applyBorder="1" applyAlignment="1">
      <alignment horizontal="right"/>
    </xf>
    <xf numFmtId="37" fontId="3" fillId="3" borderId="52" xfId="1" applyNumberFormat="1" applyFont="1" applyFill="1" applyBorder="1" applyAlignment="1">
      <alignment horizontal="right"/>
    </xf>
    <xf numFmtId="37" fontId="0" fillId="5" borderId="0" xfId="0" applyNumberFormat="1" applyFill="1"/>
    <xf numFmtId="37" fontId="2" fillId="2" borderId="47" xfId="0" applyNumberFormat="1" applyFont="1" applyFill="1" applyBorder="1" applyAlignment="1"/>
    <xf numFmtId="37" fontId="2" fillId="2" borderId="71" xfId="1" applyNumberFormat="1" applyFont="1" applyFill="1" applyBorder="1" applyAlignment="1"/>
    <xf numFmtId="37" fontId="2" fillId="2" borderId="68" xfId="0" applyNumberFormat="1" applyFont="1" applyFill="1" applyBorder="1" applyAlignment="1"/>
    <xf numFmtId="37" fontId="0" fillId="5" borderId="0" xfId="0" applyNumberFormat="1" applyFill="1" applyBorder="1"/>
    <xf numFmtId="39" fontId="0" fillId="3" borderId="0" xfId="0" applyNumberFormat="1" applyFill="1"/>
    <xf numFmtId="39" fontId="2" fillId="2" borderId="57" xfId="0" applyNumberFormat="1" applyFont="1" applyFill="1" applyBorder="1" applyAlignment="1">
      <alignment horizontal="center" vertical="center" wrapText="1"/>
    </xf>
    <xf numFmtId="39" fontId="8" fillId="10" borderId="8" xfId="0" applyNumberFormat="1" applyFont="1" applyFill="1" applyBorder="1" applyAlignment="1">
      <alignment horizontal="right"/>
    </xf>
    <xf numFmtId="39" fontId="1" fillId="10" borderId="10" xfId="1" applyNumberFormat="1" applyFont="1" applyFill="1" applyBorder="1"/>
    <xf numFmtId="39" fontId="1" fillId="10" borderId="44" xfId="1" applyNumberFormat="1" applyFont="1" applyFill="1" applyBorder="1"/>
    <xf numFmtId="39" fontId="8" fillId="3" borderId="61" xfId="0" applyNumberFormat="1" applyFont="1" applyFill="1" applyBorder="1" applyAlignment="1">
      <alignment horizontal="right"/>
    </xf>
    <xf numFmtId="39" fontId="3" fillId="3" borderId="10" xfId="1" applyNumberFormat="1" applyFont="1" applyFill="1" applyBorder="1"/>
    <xf numFmtId="39" fontId="8" fillId="3" borderId="61" xfId="1" applyNumberFormat="1" applyFont="1" applyFill="1" applyBorder="1" applyAlignment="1">
      <alignment horizontal="right"/>
    </xf>
    <xf numFmtId="39" fontId="2" fillId="2" borderId="57" xfId="0" applyNumberFormat="1" applyFont="1" applyFill="1" applyBorder="1" applyAlignment="1"/>
    <xf numFmtId="39" fontId="3" fillId="3" borderId="0" xfId="1" applyNumberFormat="1" applyFont="1" applyFill="1" applyBorder="1"/>
    <xf numFmtId="39" fontId="8" fillId="3" borderId="10" xfId="0" applyNumberFormat="1" applyFont="1" applyFill="1" applyBorder="1" applyAlignment="1">
      <alignment horizontal="right"/>
    </xf>
    <xf numFmtId="39" fontId="2" fillId="2" borderId="40" xfId="0" applyNumberFormat="1" applyFont="1" applyFill="1" applyBorder="1" applyAlignment="1"/>
    <xf numFmtId="39" fontId="0" fillId="5" borderId="0" xfId="0" applyNumberFormat="1" applyFill="1"/>
    <xf numFmtId="39" fontId="2" fillId="2" borderId="40" xfId="1" applyNumberFormat="1" applyFont="1" applyFill="1" applyBorder="1" applyAlignment="1"/>
    <xf numFmtId="39" fontId="2" fillId="2" borderId="59" xfId="0" applyNumberFormat="1" applyFont="1" applyFill="1" applyBorder="1" applyAlignment="1">
      <alignment horizontal="center" vertical="center" wrapText="1"/>
    </xf>
    <xf numFmtId="39" fontId="2" fillId="2" borderId="71" xfId="1" applyNumberFormat="1" applyFont="1" applyFill="1" applyBorder="1" applyAlignment="1"/>
    <xf numFmtId="39" fontId="2" fillId="2" borderId="67" xfId="0" applyNumberFormat="1" applyFont="1" applyFill="1" applyBorder="1" applyAlignment="1">
      <alignment horizontal="center" vertical="center" wrapText="1"/>
    </xf>
    <xf numFmtId="39" fontId="2" fillId="2" borderId="72" xfId="1" applyNumberFormat="1" applyFont="1" applyFill="1" applyBorder="1" applyAlignment="1"/>
    <xf numFmtId="39" fontId="0" fillId="5" borderId="10" xfId="0" applyNumberFormat="1" applyFill="1" applyBorder="1"/>
    <xf numFmtId="39" fontId="2" fillId="2" borderId="57" xfId="1" applyNumberFormat="1" applyFont="1" applyFill="1" applyBorder="1" applyAlignment="1"/>
    <xf numFmtId="37" fontId="2" fillId="2" borderId="24" xfId="1" applyNumberFormat="1" applyFont="1" applyFill="1" applyBorder="1" applyAlignment="1">
      <alignment horizontal="right"/>
    </xf>
    <xf numFmtId="37" fontId="2" fillId="2" borderId="57" xfId="0" applyNumberFormat="1" applyFont="1" applyFill="1" applyBorder="1" applyAlignment="1">
      <alignment horizontal="center"/>
    </xf>
    <xf numFmtId="37" fontId="8" fillId="3" borderId="8" xfId="0" applyNumberFormat="1" applyFont="1" applyFill="1" applyBorder="1" applyAlignment="1">
      <alignment horizontal="right"/>
    </xf>
    <xf numFmtId="37" fontId="1" fillId="3" borderId="10" xfId="1" applyNumberFormat="1" applyFont="1" applyFill="1" applyBorder="1"/>
    <xf numFmtId="37" fontId="1" fillId="3" borderId="26" xfId="1" applyNumberFormat="1" applyFont="1" applyFill="1" applyBorder="1"/>
    <xf numFmtId="37" fontId="0" fillId="3" borderId="10" xfId="0" applyNumberFormat="1" applyFill="1" applyBorder="1"/>
    <xf numFmtId="37" fontId="8" fillId="3" borderId="60" xfId="0" applyNumberFormat="1" applyFont="1" applyFill="1" applyBorder="1" applyAlignment="1">
      <alignment horizontal="right"/>
    </xf>
    <xf numFmtId="37" fontId="3" fillId="3" borderId="10" xfId="1" applyNumberFormat="1" applyFont="1" applyFill="1" applyBorder="1"/>
    <xf numFmtId="37" fontId="8" fillId="3" borderId="60" xfId="1" applyNumberFormat="1" applyFont="1" applyFill="1" applyBorder="1" applyAlignment="1">
      <alignment horizontal="right"/>
    </xf>
    <xf numFmtId="37" fontId="3" fillId="3" borderId="13" xfId="1" applyNumberFormat="1" applyFont="1" applyFill="1" applyBorder="1"/>
    <xf numFmtId="37" fontId="2" fillId="2" borderId="57" xfId="1" applyNumberFormat="1" applyFont="1" applyFill="1" applyBorder="1" applyAlignment="1"/>
    <xf numFmtId="37" fontId="8" fillId="3" borderId="10" xfId="1" applyNumberFormat="1" applyFont="1" applyFill="1" applyBorder="1" applyAlignment="1">
      <alignment horizontal="right"/>
    </xf>
    <xf numFmtId="37" fontId="3" fillId="3" borderId="10" xfId="1" applyNumberFormat="1" applyFont="1" applyFill="1" applyBorder="1" applyAlignment="1">
      <alignment horizontal="right"/>
    </xf>
    <xf numFmtId="37" fontId="3" fillId="3" borderId="13" xfId="1" applyNumberFormat="1" applyFont="1" applyFill="1" applyBorder="1" applyAlignment="1">
      <alignment horizontal="right"/>
    </xf>
    <xf numFmtId="37" fontId="2" fillId="2" borderId="72" xfId="1" applyNumberFormat="1" applyFont="1" applyFill="1" applyBorder="1" applyAlignment="1"/>
    <xf numFmtId="37" fontId="2" fillId="2" borderId="99" xfId="0" applyNumberFormat="1" applyFont="1" applyFill="1" applyBorder="1" applyAlignment="1">
      <alignment horizontal="center"/>
    </xf>
    <xf numFmtId="37" fontId="0" fillId="3" borderId="38" xfId="0" applyNumberFormat="1" applyFill="1" applyBorder="1"/>
    <xf numFmtId="37" fontId="0" fillId="3" borderId="38" xfId="1" applyNumberFormat="1" applyFont="1" applyFill="1" applyBorder="1"/>
    <xf numFmtId="39" fontId="0" fillId="3" borderId="38" xfId="1" applyNumberFormat="1" applyFont="1" applyFill="1" applyBorder="1"/>
    <xf numFmtId="39" fontId="0" fillId="3" borderId="38" xfId="0" applyNumberFormat="1" applyFill="1" applyBorder="1"/>
    <xf numFmtId="37" fontId="0" fillId="3" borderId="48" xfId="1" applyNumberFormat="1" applyFont="1" applyFill="1" applyBorder="1"/>
    <xf numFmtId="37" fontId="2" fillId="2" borderId="40" xfId="1" applyNumberFormat="1" applyFont="1" applyFill="1" applyBorder="1" applyAlignment="1">
      <alignment horizontal="center"/>
    </xf>
    <xf numFmtId="37" fontId="2" fillId="2" borderId="40" xfId="0" applyNumberFormat="1" applyFont="1" applyFill="1" applyBorder="1" applyAlignment="1">
      <alignment horizontal="center" vertical="center" wrapText="1"/>
    </xf>
    <xf numFmtId="37" fontId="8" fillId="3" borderId="32" xfId="0" applyNumberFormat="1" applyFont="1" applyFill="1" applyBorder="1" applyAlignment="1">
      <alignment horizontal="right"/>
    </xf>
    <xf numFmtId="37" fontId="1" fillId="3" borderId="0" xfId="1" applyNumberFormat="1" applyFont="1" applyFill="1" applyBorder="1"/>
    <xf numFmtId="37" fontId="3" fillId="3" borderId="12" xfId="0" applyNumberFormat="1" applyFont="1" applyFill="1" applyBorder="1" applyAlignment="1">
      <alignment horizontal="right"/>
    </xf>
    <xf numFmtId="37" fontId="3" fillId="3" borderId="0" xfId="0" applyNumberFormat="1" applyFont="1" applyFill="1" applyBorder="1" applyAlignment="1">
      <alignment horizontal="right"/>
    </xf>
    <xf numFmtId="37" fontId="2" fillId="2" borderId="68" xfId="0" applyNumberFormat="1" applyFont="1" applyFill="1" applyBorder="1" applyAlignment="1">
      <alignment horizontal="center" vertical="center" wrapText="1"/>
    </xf>
    <xf numFmtId="37" fontId="2" fillId="2" borderId="71" xfId="1" applyNumberFormat="1" applyFont="1" applyFill="1" applyBorder="1" applyAlignment="1">
      <alignment horizontal="center"/>
    </xf>
    <xf numFmtId="0" fontId="9" fillId="6" borderId="0" xfId="0" applyFont="1" applyFill="1" applyProtection="1"/>
    <xf numFmtId="0" fontId="14" fillId="6" borderId="0" xfId="0" applyFont="1" applyFill="1" applyProtection="1"/>
    <xf numFmtId="164" fontId="9" fillId="6" borderId="0" xfId="1" applyNumberFormat="1" applyFont="1" applyFill="1" applyProtection="1"/>
    <xf numFmtId="3" fontId="9" fillId="6" borderId="0" xfId="0" applyNumberFormat="1" applyFont="1" applyFill="1" applyProtection="1"/>
    <xf numFmtId="0" fontId="0" fillId="6" borderId="0" xfId="0" applyFill="1" applyProtection="1"/>
    <xf numFmtId="0" fontId="9" fillId="6" borderId="0" xfId="0" applyFont="1" applyFill="1" applyBorder="1" applyProtection="1"/>
    <xf numFmtId="0" fontId="9" fillId="6" borderId="0" xfId="0" applyFont="1" applyFill="1" applyBorder="1"/>
    <xf numFmtId="0" fontId="24" fillId="6" borderId="0" xfId="0" applyFont="1" applyFill="1" applyBorder="1" applyAlignment="1">
      <alignment horizontal="center" wrapText="1"/>
    </xf>
    <xf numFmtId="164" fontId="9" fillId="6" borderId="0" xfId="0" applyNumberFormat="1" applyFont="1" applyFill="1" applyBorder="1"/>
    <xf numFmtId="9" fontId="9" fillId="6" borderId="0" xfId="2" applyFont="1" applyFill="1" applyBorder="1"/>
    <xf numFmtId="10" fontId="9" fillId="6" borderId="0" xfId="0" applyNumberFormat="1" applyFont="1" applyFill="1" applyBorder="1" applyProtection="1"/>
    <xf numFmtId="10" fontId="9" fillId="6" borderId="0" xfId="0" applyNumberFormat="1" applyFont="1" applyFill="1" applyProtection="1"/>
    <xf numFmtId="168" fontId="9" fillId="6" borderId="0" xfId="0" applyNumberFormat="1" applyFont="1" applyFill="1" applyProtection="1"/>
    <xf numFmtId="0" fontId="9" fillId="6" borderId="0" xfId="0" applyFont="1" applyFill="1" applyAlignment="1" applyProtection="1">
      <alignment horizontal="right"/>
    </xf>
    <xf numFmtId="0" fontId="9" fillId="6" borderId="0" xfId="0" applyFont="1" applyFill="1" applyAlignment="1">
      <alignment horizontal="right"/>
    </xf>
    <xf numFmtId="10" fontId="9" fillId="6" borderId="0" xfId="2" applyNumberFormat="1" applyFont="1" applyFill="1" applyProtection="1"/>
    <xf numFmtId="9" fontId="9" fillId="6" borderId="0" xfId="0" applyNumberFormat="1" applyFont="1" applyFill="1"/>
    <xf numFmtId="9" fontId="0" fillId="4" borderId="4" xfId="2" applyFont="1" applyFill="1" applyBorder="1" applyAlignment="1" applyProtection="1">
      <alignment horizontal="center"/>
      <protection locked="0"/>
    </xf>
    <xf numFmtId="3" fontId="0" fillId="4" borderId="4" xfId="0" applyNumberFormat="1" applyFill="1" applyBorder="1" applyAlignment="1" applyProtection="1">
      <alignment horizontal="center"/>
      <protection locked="0"/>
    </xf>
    <xf numFmtId="3" fontId="0" fillId="4" borderId="62" xfId="0" applyNumberFormat="1" applyFill="1" applyBorder="1" applyAlignment="1" applyProtection="1">
      <alignment horizontal="center"/>
      <protection locked="0"/>
    </xf>
    <xf numFmtId="3" fontId="0" fillId="4" borderId="65"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3" fontId="0" fillId="4" borderId="48" xfId="0" applyNumberFormat="1" applyFill="1" applyBorder="1" applyAlignment="1" applyProtection="1">
      <alignment horizontal="center"/>
      <protection locked="0"/>
    </xf>
    <xf numFmtId="3" fontId="0" fillId="4" borderId="21"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3" fontId="0" fillId="4" borderId="48" xfId="0" applyNumberFormat="1" applyFill="1" applyBorder="1" applyAlignment="1" applyProtection="1">
      <alignment horizontal="center"/>
      <protection locked="0"/>
    </xf>
    <xf numFmtId="3" fontId="0" fillId="4" borderId="21"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3" fontId="0" fillId="4" borderId="48" xfId="0" applyNumberFormat="1" applyFill="1" applyBorder="1" applyAlignment="1" applyProtection="1">
      <alignment horizontal="center"/>
      <protection locked="0"/>
    </xf>
    <xf numFmtId="3" fontId="0" fillId="4" borderId="21"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3" fontId="0" fillId="4" borderId="48" xfId="0" applyNumberFormat="1" applyFill="1" applyBorder="1" applyAlignment="1" applyProtection="1">
      <alignment horizontal="center"/>
      <protection locked="0"/>
    </xf>
    <xf numFmtId="0" fontId="0" fillId="4" borderId="19" xfId="0" applyFill="1" applyBorder="1" applyAlignment="1" applyProtection="1">
      <alignment horizontal="center"/>
      <protection locked="0"/>
    </xf>
    <xf numFmtId="2" fontId="0" fillId="4" borderId="1" xfId="0" applyNumberFormat="1" applyFill="1" applyBorder="1" applyProtection="1">
      <protection locked="0"/>
    </xf>
    <xf numFmtId="2" fontId="0" fillId="4" borderId="2" xfId="0" applyNumberFormat="1" applyFill="1" applyBorder="1" applyProtection="1">
      <protection locked="0"/>
    </xf>
    <xf numFmtId="0" fontId="0" fillId="4" borderId="2" xfId="0" applyFill="1" applyBorder="1" applyAlignment="1" applyProtection="1">
      <alignment horizontal="center"/>
      <protection locked="0"/>
    </xf>
    <xf numFmtId="0" fontId="0" fillId="4" borderId="1" xfId="0" applyNumberFormat="1" applyFill="1" applyBorder="1" applyProtection="1">
      <protection locked="0"/>
    </xf>
    <xf numFmtId="0" fontId="0" fillId="4" borderId="2" xfId="0" applyNumberFormat="1" applyFill="1" applyBorder="1" applyProtection="1">
      <protection locked="0"/>
    </xf>
    <xf numFmtId="0" fontId="0" fillId="4" borderId="3" xfId="0" applyFill="1" applyBorder="1" applyAlignment="1" applyProtection="1">
      <alignment horizontal="center"/>
      <protection locked="0"/>
    </xf>
    <xf numFmtId="0" fontId="0" fillId="4" borderId="1" xfId="0" applyFill="1" applyBorder="1" applyAlignment="1" applyProtection="1">
      <alignment horizontal="center"/>
      <protection locked="0"/>
    </xf>
    <xf numFmtId="2" fontId="0" fillId="4" borderId="19" xfId="0" applyNumberFormat="1" applyFill="1" applyBorder="1" applyProtection="1">
      <protection locked="0"/>
    </xf>
    <xf numFmtId="0" fontId="0" fillId="4" borderId="19" xfId="0" applyNumberFormat="1" applyFill="1" applyBorder="1" applyProtection="1">
      <protection locked="0"/>
    </xf>
    <xf numFmtId="43" fontId="0" fillId="4" borderId="25" xfId="1" applyNumberFormat="1" applyFont="1" applyFill="1" applyBorder="1" applyProtection="1">
      <protection locked="0"/>
    </xf>
    <xf numFmtId="43" fontId="0" fillId="4" borderId="4" xfId="1" applyNumberFormat="1" applyFont="1" applyFill="1" applyBorder="1" applyProtection="1">
      <protection locked="0"/>
    </xf>
    <xf numFmtId="164" fontId="0" fillId="4" borderId="3" xfId="1" applyNumberFormat="1" applyFont="1" applyFill="1" applyBorder="1" applyProtection="1">
      <protection locked="0"/>
    </xf>
    <xf numFmtId="164" fontId="0" fillId="4" borderId="25" xfId="1" applyNumberFormat="1" applyFont="1" applyFill="1" applyBorder="1" applyProtection="1">
      <protection locked="0"/>
    </xf>
    <xf numFmtId="0" fontId="0" fillId="4" borderId="3" xfId="0" applyFill="1" applyBorder="1" applyAlignment="1" applyProtection="1">
      <alignment horizontal="center"/>
      <protection locked="0"/>
    </xf>
    <xf numFmtId="164" fontId="0" fillId="4" borderId="54" xfId="1" applyNumberFormat="1" applyFont="1" applyFill="1" applyBorder="1" applyProtection="1">
      <protection locked="0"/>
    </xf>
    <xf numFmtId="164" fontId="0" fillId="4" borderId="4" xfId="1" applyNumberFormat="1" applyFont="1" applyFill="1" applyBorder="1" applyProtection="1">
      <protection locked="0"/>
    </xf>
    <xf numFmtId="0" fontId="0" fillId="4" borderId="1" xfId="0" applyFill="1" applyBorder="1" applyAlignment="1" applyProtection="1">
      <alignment horizontal="center"/>
      <protection locked="0"/>
    </xf>
    <xf numFmtId="9" fontId="0" fillId="11" borderId="1" xfId="2" applyFont="1" applyFill="1" applyBorder="1" applyProtection="1">
      <protection locked="0"/>
    </xf>
    <xf numFmtId="9" fontId="0" fillId="4" borderId="89" xfId="2" applyFont="1" applyFill="1" applyBorder="1" applyAlignment="1" applyProtection="1">
      <alignment horizontal="center"/>
      <protection locked="0"/>
    </xf>
    <xf numFmtId="9" fontId="0" fillId="4" borderId="91" xfId="2" applyFont="1" applyFill="1" applyBorder="1" applyAlignment="1" applyProtection="1">
      <alignment horizontal="center"/>
      <protection locked="0"/>
    </xf>
    <xf numFmtId="164" fontId="0" fillId="4" borderId="3" xfId="1" applyNumberFormat="1" applyFont="1" applyFill="1" applyBorder="1" applyProtection="1">
      <protection locked="0"/>
    </xf>
    <xf numFmtId="164" fontId="0" fillId="4" borderId="1" xfId="1" applyNumberFormat="1" applyFont="1" applyFill="1" applyBorder="1" applyProtection="1">
      <protection locked="0"/>
    </xf>
    <xf numFmtId="0" fontId="0" fillId="4" borderId="49" xfId="0" applyFill="1" applyBorder="1" applyProtection="1">
      <protection locked="0"/>
    </xf>
    <xf numFmtId="0" fontId="0" fillId="7" borderId="43" xfId="0" applyFill="1" applyBorder="1" applyProtection="1">
      <protection locked="0"/>
    </xf>
    <xf numFmtId="0" fontId="0" fillId="4" borderId="49" xfId="0" applyFill="1" applyBorder="1" applyProtection="1">
      <protection locked="0"/>
    </xf>
    <xf numFmtId="0" fontId="0" fillId="7" borderId="43" xfId="0" applyFill="1" applyBorder="1" applyProtection="1">
      <protection locked="0"/>
    </xf>
    <xf numFmtId="0" fontId="0" fillId="7" borderId="49" xfId="0" applyFill="1" applyBorder="1" applyAlignment="1" applyProtection="1">
      <alignment horizontal="center"/>
      <protection locked="0"/>
    </xf>
    <xf numFmtId="0" fontId="0" fillId="4" borderId="49" xfId="0" applyFill="1" applyBorder="1" applyProtection="1">
      <protection locked="0"/>
    </xf>
    <xf numFmtId="0" fontId="0" fillId="7" borderId="15" xfId="0" applyFill="1" applyBorder="1" applyAlignment="1" applyProtection="1">
      <alignment horizontal="left"/>
      <protection locked="0"/>
    </xf>
    <xf numFmtId="0" fontId="0" fillId="7" borderId="1" xfId="0" applyFill="1" applyBorder="1" applyAlignment="1" applyProtection="1">
      <alignment horizontal="center"/>
      <protection locked="0"/>
    </xf>
    <xf numFmtId="0" fontId="0" fillId="7" borderId="2" xfId="0" applyFill="1" applyBorder="1" applyAlignment="1" applyProtection="1">
      <alignment horizontal="center"/>
      <protection locked="0"/>
    </xf>
    <xf numFmtId="0" fontId="0" fillId="7" borderId="43" xfId="0" applyFill="1" applyBorder="1" applyProtection="1">
      <protection locked="0"/>
    </xf>
    <xf numFmtId="0" fontId="0" fillId="7" borderId="63" xfId="0" applyFill="1" applyBorder="1" applyProtection="1">
      <protection locked="0"/>
    </xf>
    <xf numFmtId="0" fontId="0" fillId="4" borderId="49" xfId="0" applyFill="1" applyBorder="1" applyAlignment="1" applyProtection="1">
      <alignment horizontal="right"/>
      <protection locked="0"/>
    </xf>
    <xf numFmtId="0" fontId="0" fillId="4" borderId="64" xfId="0" applyFill="1" applyBorder="1" applyAlignment="1" applyProtection="1">
      <alignment horizontal="right"/>
      <protection locked="0"/>
    </xf>
    <xf numFmtId="0" fontId="0" fillId="7" borderId="49" xfId="0" applyFill="1" applyBorder="1" applyAlignment="1" applyProtection="1">
      <alignment horizontal="center"/>
      <protection locked="0"/>
    </xf>
    <xf numFmtId="0" fontId="0" fillId="7" borderId="64" xfId="0" applyFill="1" applyBorder="1" applyAlignment="1" applyProtection="1">
      <alignment horizontal="center"/>
      <protection locked="0"/>
    </xf>
    <xf numFmtId="0" fontId="0" fillId="7" borderId="43" xfId="0" applyFill="1" applyBorder="1" applyProtection="1">
      <protection locked="0"/>
    </xf>
    <xf numFmtId="0" fontId="0" fillId="7" borderId="63" xfId="0" applyFill="1" applyBorder="1" applyProtection="1">
      <protection locked="0"/>
    </xf>
    <xf numFmtId="0" fontId="0" fillId="4" borderId="49" xfId="0" applyFill="1" applyBorder="1" applyAlignment="1" applyProtection="1">
      <alignment horizontal="right"/>
      <protection locked="0"/>
    </xf>
    <xf numFmtId="0" fontId="0" fillId="4" borderId="64" xfId="0" applyFill="1" applyBorder="1" applyAlignment="1" applyProtection="1">
      <alignment horizontal="right"/>
      <protection locked="0"/>
    </xf>
    <xf numFmtId="0" fontId="0" fillId="7" borderId="49" xfId="0" applyFill="1" applyBorder="1" applyAlignment="1" applyProtection="1">
      <alignment horizontal="center"/>
      <protection locked="0"/>
    </xf>
    <xf numFmtId="0" fontId="0" fillId="7" borderId="64" xfId="0" applyFill="1" applyBorder="1" applyAlignment="1" applyProtection="1">
      <alignment horizontal="center"/>
      <protection locked="0"/>
    </xf>
    <xf numFmtId="0" fontId="0" fillId="7" borderId="43" xfId="0" applyFill="1" applyBorder="1" applyProtection="1">
      <protection locked="0"/>
    </xf>
    <xf numFmtId="0" fontId="0" fillId="7" borderId="63" xfId="0" applyFill="1" applyBorder="1" applyProtection="1">
      <protection locked="0"/>
    </xf>
    <xf numFmtId="0" fontId="0" fillId="4" borderId="49" xfId="0" applyFill="1" applyBorder="1" applyAlignment="1" applyProtection="1">
      <alignment horizontal="right"/>
      <protection locked="0"/>
    </xf>
    <xf numFmtId="0" fontId="0" fillId="4" borderId="64" xfId="0" applyFill="1" applyBorder="1" applyAlignment="1" applyProtection="1">
      <alignment horizontal="right"/>
      <protection locked="0"/>
    </xf>
    <xf numFmtId="0" fontId="0" fillId="7" borderId="49" xfId="0" applyFill="1" applyBorder="1" applyAlignment="1" applyProtection="1">
      <alignment horizontal="center"/>
      <protection locked="0"/>
    </xf>
    <xf numFmtId="0" fontId="0" fillId="7" borderId="64" xfId="0" applyFill="1" applyBorder="1" applyAlignment="1" applyProtection="1">
      <alignment horizontal="center"/>
      <protection locked="0"/>
    </xf>
    <xf numFmtId="0" fontId="0" fillId="7" borderId="43" xfId="0" applyFill="1" applyBorder="1" applyProtection="1">
      <protection locked="0"/>
    </xf>
    <xf numFmtId="0" fontId="0" fillId="7" borderId="63" xfId="0" applyFill="1" applyBorder="1" applyProtection="1">
      <protection locked="0"/>
    </xf>
    <xf numFmtId="0" fontId="0" fillId="4" borderId="49" xfId="0" applyFill="1" applyBorder="1" applyAlignment="1" applyProtection="1">
      <alignment horizontal="right"/>
      <protection locked="0"/>
    </xf>
    <xf numFmtId="0" fontId="0" fillId="4" borderId="64" xfId="0" applyFill="1" applyBorder="1" applyAlignment="1" applyProtection="1">
      <alignment horizontal="right"/>
      <protection locked="0"/>
    </xf>
    <xf numFmtId="0" fontId="0" fillId="7" borderId="49" xfId="0" applyFill="1" applyBorder="1" applyAlignment="1" applyProtection="1">
      <alignment horizontal="center"/>
      <protection locked="0"/>
    </xf>
    <xf numFmtId="0" fontId="0" fillId="7" borderId="64" xfId="0" applyFill="1" applyBorder="1" applyAlignment="1" applyProtection="1">
      <alignment horizontal="center"/>
      <protection locked="0"/>
    </xf>
    <xf numFmtId="39" fontId="1" fillId="3" borderId="39" xfId="1" applyNumberFormat="1" applyFont="1" applyFill="1" applyBorder="1"/>
    <xf numFmtId="39" fontId="1" fillId="3" borderId="26" xfId="1" applyNumberFormat="1" applyFont="1" applyFill="1" applyBorder="1"/>
    <xf numFmtId="39" fontId="3" fillId="3" borderId="10" xfId="1" applyNumberFormat="1" applyFont="1" applyFill="1" applyBorder="1" applyAlignment="1">
      <alignment horizontal="right"/>
    </xf>
    <xf numFmtId="39" fontId="3" fillId="3" borderId="13" xfId="1" applyNumberFormat="1" applyFont="1" applyFill="1" applyBorder="1" applyAlignment="1">
      <alignment horizontal="right"/>
    </xf>
    <xf numFmtId="39" fontId="1" fillId="3" borderId="26" xfId="1" applyNumberFormat="1" applyFont="1" applyFill="1" applyBorder="1" applyAlignment="1">
      <alignment vertical="center"/>
    </xf>
    <xf numFmtId="0" fontId="9" fillId="4" borderId="87" xfId="0" applyFont="1" applyFill="1" applyBorder="1" applyAlignment="1" applyProtection="1">
      <alignment horizontal="left"/>
      <protection locked="0"/>
    </xf>
    <xf numFmtId="0" fontId="9" fillId="4" borderId="4" xfId="0" applyFont="1" applyFill="1" applyBorder="1" applyAlignment="1" applyProtection="1">
      <alignment horizontal="left"/>
      <protection locked="0"/>
    </xf>
    <xf numFmtId="1" fontId="0" fillId="4" borderId="3" xfId="0" applyNumberFormat="1" applyFill="1" applyBorder="1" applyProtection="1">
      <protection locked="0"/>
    </xf>
    <xf numFmtId="9" fontId="0" fillId="12" borderId="3" xfId="2" applyFont="1" applyFill="1" applyBorder="1" applyProtection="1">
      <protection locked="0"/>
    </xf>
    <xf numFmtId="9" fontId="0" fillId="12" borderId="1" xfId="2" applyFont="1" applyFill="1" applyBorder="1" applyProtection="1">
      <protection locked="0"/>
    </xf>
    <xf numFmtId="0" fontId="9" fillId="4" borderId="87" xfId="0" applyFont="1" applyFill="1" applyBorder="1" applyAlignment="1" applyProtection="1">
      <alignment horizontal="left"/>
      <protection locked="0"/>
    </xf>
    <xf numFmtId="0" fontId="9" fillId="4" borderId="4" xfId="0" applyFont="1" applyFill="1" applyBorder="1" applyAlignment="1" applyProtection="1">
      <alignment horizontal="left"/>
      <protection locked="0"/>
    </xf>
    <xf numFmtId="2" fontId="0" fillId="4" borderId="3" xfId="0" applyNumberFormat="1" applyFont="1" applyFill="1" applyBorder="1" applyProtection="1">
      <protection locked="0"/>
    </xf>
    <xf numFmtId="0" fontId="0" fillId="3" borderId="12" xfId="0" applyFont="1" applyFill="1" applyBorder="1" applyAlignment="1"/>
    <xf numFmtId="0" fontId="0" fillId="3" borderId="0" xfId="0" applyFill="1" applyAlignment="1">
      <alignment horizontal="center"/>
    </xf>
    <xf numFmtId="43" fontId="0" fillId="4" borderId="4" xfId="1" applyFont="1" applyFill="1" applyBorder="1" applyProtection="1">
      <protection locked="0"/>
    </xf>
    <xf numFmtId="9" fontId="0" fillId="13" borderId="0" xfId="2" applyFont="1" applyFill="1" applyBorder="1" applyProtection="1"/>
    <xf numFmtId="9" fontId="0" fillId="13" borderId="10" xfId="2" applyFont="1" applyFill="1" applyBorder="1" applyProtection="1"/>
    <xf numFmtId="3" fontId="9" fillId="4" borderId="79" xfId="0" applyNumberFormat="1" applyFont="1" applyFill="1" applyBorder="1" applyAlignment="1" applyProtection="1">
      <alignment horizontal="center"/>
      <protection locked="0"/>
    </xf>
    <xf numFmtId="3" fontId="9" fillId="4" borderId="25" xfId="0" applyNumberFormat="1" applyFont="1" applyFill="1" applyBorder="1" applyAlignment="1" applyProtection="1">
      <alignment horizontal="center"/>
      <protection locked="0"/>
    </xf>
    <xf numFmtId="3" fontId="9" fillId="4" borderId="4" xfId="0" applyNumberFormat="1" applyFont="1" applyFill="1" applyBorder="1" applyAlignment="1" applyProtection="1">
      <alignment horizontal="center"/>
      <protection locked="0"/>
    </xf>
    <xf numFmtId="3" fontId="9" fillId="4" borderId="4" xfId="2" applyNumberFormat="1" applyFont="1" applyFill="1" applyBorder="1" applyAlignment="1" applyProtection="1">
      <alignment horizontal="center"/>
      <protection locked="0"/>
    </xf>
    <xf numFmtId="3" fontId="9" fillId="3" borderId="4" xfId="2" applyNumberFormat="1" applyFont="1" applyFill="1" applyBorder="1" applyAlignment="1" applyProtection="1">
      <alignment horizontal="center"/>
    </xf>
    <xf numFmtId="3" fontId="9" fillId="4" borderId="1" xfId="2" applyNumberFormat="1" applyFont="1" applyFill="1" applyBorder="1" applyAlignment="1" applyProtection="1">
      <alignment horizontal="center" vertical="center"/>
      <protection locked="0"/>
    </xf>
    <xf numFmtId="3" fontId="9" fillId="4" borderId="21" xfId="0" applyNumberFormat="1" applyFont="1" applyFill="1" applyBorder="1" applyAlignment="1" applyProtection="1">
      <alignment horizontal="center"/>
      <protection locked="0"/>
    </xf>
    <xf numFmtId="3" fontId="9" fillId="4" borderId="1" xfId="0" applyNumberFormat="1" applyFont="1" applyFill="1" applyBorder="1" applyAlignment="1" applyProtection="1">
      <alignment horizontal="center"/>
      <protection locked="0"/>
    </xf>
    <xf numFmtId="3" fontId="9" fillId="4" borderId="3" xfId="0" applyNumberFormat="1" applyFont="1" applyFill="1" applyBorder="1" applyAlignment="1" applyProtection="1">
      <alignment horizontal="center"/>
      <protection locked="0"/>
    </xf>
    <xf numFmtId="3" fontId="9" fillId="6" borderId="0" xfId="0" applyNumberFormat="1" applyFont="1" applyFill="1"/>
    <xf numFmtId="0" fontId="9" fillId="3" borderId="87" xfId="0" applyFont="1" applyFill="1" applyBorder="1" applyAlignment="1">
      <alignment horizontal="left"/>
    </xf>
    <xf numFmtId="0" fontId="9" fillId="3" borderId="4" xfId="0" applyFont="1" applyFill="1" applyBorder="1" applyAlignment="1">
      <alignment horizontal="left"/>
    </xf>
    <xf numFmtId="0" fontId="9" fillId="4" borderId="87" xfId="0" applyFont="1" applyFill="1" applyBorder="1" applyAlignment="1" applyProtection="1">
      <alignment horizontal="left"/>
      <protection locked="0"/>
    </xf>
    <xf numFmtId="0" fontId="9" fillId="4" borderId="4" xfId="0" applyFont="1" applyFill="1" applyBorder="1" applyAlignment="1" applyProtection="1">
      <alignment horizontal="left"/>
      <protection locked="0"/>
    </xf>
    <xf numFmtId="0" fontId="9" fillId="4" borderId="88" xfId="0" applyFont="1" applyFill="1" applyBorder="1" applyAlignment="1" applyProtection="1">
      <alignment horizontal="left"/>
      <protection locked="0"/>
    </xf>
    <xf numFmtId="0" fontId="9" fillId="4" borderId="65" xfId="0" applyFont="1" applyFill="1" applyBorder="1" applyAlignment="1" applyProtection="1">
      <alignment horizontal="left"/>
      <protection locked="0"/>
    </xf>
    <xf numFmtId="0" fontId="17" fillId="9" borderId="0" xfId="0" applyFont="1" applyFill="1" applyAlignment="1" applyProtection="1">
      <alignment horizontal="left" wrapText="1"/>
    </xf>
    <xf numFmtId="0" fontId="2" fillId="2" borderId="98" xfId="0" applyFont="1" applyFill="1" applyBorder="1" applyAlignment="1" applyProtection="1">
      <alignment horizontal="center"/>
    </xf>
    <xf numFmtId="0" fontId="2" fillId="2" borderId="0" xfId="0" applyFont="1" applyFill="1" applyBorder="1" applyAlignment="1" applyProtection="1">
      <alignment horizontal="center"/>
    </xf>
    <xf numFmtId="0" fontId="9" fillId="3" borderId="96" xfId="0" applyFont="1" applyFill="1" applyBorder="1" applyAlignment="1" applyProtection="1">
      <alignment horizontal="left"/>
    </xf>
    <xf numFmtId="0" fontId="9" fillId="3" borderId="97" xfId="0" applyFont="1" applyFill="1" applyBorder="1" applyAlignment="1" applyProtection="1">
      <alignment horizontal="left"/>
    </xf>
    <xf numFmtId="0" fontId="9" fillId="6" borderId="0" xfId="0" applyFont="1" applyFill="1" applyAlignment="1" applyProtection="1">
      <alignment horizontal="center" wrapText="1"/>
    </xf>
    <xf numFmtId="0" fontId="9" fillId="3" borderId="87" xfId="0" applyFont="1" applyFill="1" applyBorder="1" applyAlignment="1" applyProtection="1">
      <alignment horizontal="left"/>
    </xf>
    <xf numFmtId="0" fontId="9" fillId="3" borderId="4" xfId="0" applyFont="1" applyFill="1" applyBorder="1" applyAlignment="1" applyProtection="1">
      <alignment horizontal="left"/>
    </xf>
    <xf numFmtId="0" fontId="3" fillId="3" borderId="18" xfId="0" applyFont="1" applyFill="1" applyBorder="1" applyAlignment="1" applyProtection="1">
      <alignment horizontal="center" vertical="center" textRotation="90"/>
    </xf>
    <xf numFmtId="0" fontId="3" fillId="3" borderId="37" xfId="0" applyFont="1" applyFill="1" applyBorder="1" applyAlignment="1" applyProtection="1">
      <alignment horizontal="center" vertical="center" textRotation="90"/>
    </xf>
    <xf numFmtId="0" fontId="3" fillId="3" borderId="82" xfId="0" applyFont="1" applyFill="1" applyBorder="1" applyAlignment="1" applyProtection="1">
      <alignment horizontal="center" vertical="center" textRotation="90"/>
    </xf>
    <xf numFmtId="0" fontId="24" fillId="3" borderId="18" xfId="0" applyFont="1" applyFill="1" applyBorder="1" applyAlignment="1" applyProtection="1">
      <alignment horizontal="center" vertical="center" textRotation="90"/>
    </xf>
    <xf numFmtId="0" fontId="24" fillId="3" borderId="37" xfId="0" applyFont="1" applyFill="1" applyBorder="1" applyAlignment="1" applyProtection="1">
      <alignment horizontal="center" vertical="center" textRotation="90"/>
    </xf>
    <xf numFmtId="0" fontId="24" fillId="3" borderId="16" xfId="0" applyFont="1" applyFill="1" applyBorder="1" applyAlignment="1" applyProtection="1">
      <alignment horizontal="center" vertical="center" textRotation="90"/>
    </xf>
    <xf numFmtId="0" fontId="16" fillId="3" borderId="33" xfId="0" applyFont="1" applyFill="1" applyBorder="1" applyAlignment="1" applyProtection="1">
      <alignment horizontal="left" vertical="center" wrapText="1"/>
    </xf>
    <xf numFmtId="0" fontId="16" fillId="3" borderId="7" xfId="0" applyFont="1" applyFill="1" applyBorder="1" applyAlignment="1" applyProtection="1">
      <alignment horizontal="left" vertical="center" wrapText="1"/>
    </xf>
    <xf numFmtId="0" fontId="16" fillId="3" borderId="78" xfId="0" applyFont="1" applyFill="1" applyBorder="1" applyAlignment="1" applyProtection="1">
      <alignment horizontal="left" vertical="center" wrapText="1"/>
    </xf>
    <xf numFmtId="0" fontId="16" fillId="3" borderId="38"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wrapText="1"/>
    </xf>
    <xf numFmtId="0" fontId="16" fillId="3" borderId="52" xfId="0" applyFont="1" applyFill="1" applyBorder="1" applyAlignment="1" applyProtection="1">
      <alignment horizontal="left" vertical="center" wrapText="1"/>
    </xf>
    <xf numFmtId="0" fontId="16" fillId="3" borderId="14" xfId="0" applyFont="1" applyFill="1" applyBorder="1" applyAlignment="1" applyProtection="1">
      <alignment horizontal="left" vertical="center" wrapText="1"/>
    </xf>
    <xf numFmtId="0" fontId="16" fillId="3" borderId="77" xfId="0" applyFont="1" applyFill="1" applyBorder="1" applyAlignment="1" applyProtection="1">
      <alignment horizontal="left" vertical="center" wrapText="1"/>
    </xf>
    <xf numFmtId="0" fontId="16" fillId="3" borderId="25" xfId="0" applyFont="1" applyFill="1" applyBorder="1" applyAlignment="1" applyProtection="1">
      <alignment horizontal="left" vertical="center" wrapText="1"/>
    </xf>
    <xf numFmtId="0" fontId="3" fillId="3" borderId="30" xfId="0" applyFont="1" applyFill="1" applyBorder="1" applyAlignment="1" applyProtection="1">
      <alignment horizontal="center" vertical="center" textRotation="90"/>
    </xf>
    <xf numFmtId="0" fontId="3" fillId="3" borderId="16" xfId="0" applyFont="1" applyFill="1" applyBorder="1" applyAlignment="1" applyProtection="1">
      <alignment horizontal="center" vertical="center" textRotation="90"/>
    </xf>
    <xf numFmtId="0" fontId="0" fillId="0" borderId="37" xfId="0" applyBorder="1"/>
    <xf numFmtId="0" fontId="0" fillId="0" borderId="82" xfId="0" applyBorder="1"/>
    <xf numFmtId="0" fontId="23" fillId="3" borderId="83" xfId="0" applyFont="1" applyFill="1" applyBorder="1" applyAlignment="1" applyProtection="1">
      <alignment horizontal="right"/>
    </xf>
    <xf numFmtId="0" fontId="23" fillId="3" borderId="62" xfId="0" applyFont="1" applyFill="1" applyBorder="1" applyAlignment="1" applyProtection="1">
      <alignment horizontal="right"/>
    </xf>
    <xf numFmtId="0" fontId="9" fillId="4" borderId="96" xfId="0" applyFont="1" applyFill="1" applyBorder="1" applyAlignment="1" applyProtection="1">
      <alignment horizontal="left"/>
      <protection locked="0"/>
    </xf>
    <xf numFmtId="0" fontId="9" fillId="4" borderId="97" xfId="0" applyFont="1" applyFill="1" applyBorder="1" applyAlignment="1" applyProtection="1">
      <alignment horizontal="left"/>
      <protection locked="0"/>
    </xf>
    <xf numFmtId="0" fontId="0" fillId="3" borderId="38" xfId="0" applyFill="1" applyBorder="1" applyAlignment="1">
      <alignment horizontal="left" wrapText="1"/>
    </xf>
    <xf numFmtId="0" fontId="0" fillId="3" borderId="0" xfId="0" applyFill="1" applyBorder="1" applyAlignment="1">
      <alignment horizontal="left" wrapText="1"/>
    </xf>
    <xf numFmtId="0" fontId="0" fillId="3" borderId="52" xfId="0" applyFill="1" applyBorder="1" applyAlignment="1">
      <alignment horizontal="left" wrapText="1"/>
    </xf>
    <xf numFmtId="2" fontId="0" fillId="3" borderId="58" xfId="0" applyNumberFormat="1" applyFill="1" applyBorder="1" applyAlignment="1">
      <alignment horizontal="center"/>
    </xf>
    <xf numFmtId="2" fontId="0" fillId="3" borderId="0" xfId="0" applyNumberFormat="1" applyFill="1" applyBorder="1" applyAlignment="1">
      <alignment horizontal="center"/>
    </xf>
    <xf numFmtId="0" fontId="3" fillId="3" borderId="38" xfId="0" applyFont="1" applyFill="1" applyBorder="1" applyAlignment="1">
      <alignment horizontal="center" wrapText="1"/>
    </xf>
    <xf numFmtId="0" fontId="3" fillId="3" borderId="50" xfId="0" applyFont="1" applyFill="1" applyBorder="1" applyAlignment="1">
      <alignment horizontal="center" wrapText="1"/>
    </xf>
    <xf numFmtId="0" fontId="3" fillId="3" borderId="0" xfId="0" applyFont="1" applyFill="1" applyBorder="1" applyAlignment="1">
      <alignment horizontal="center" wrapText="1"/>
    </xf>
    <xf numFmtId="0" fontId="15" fillId="6" borderId="0" xfId="0" applyFont="1" applyFill="1" applyBorder="1" applyAlignment="1">
      <alignment horizontal="center" wrapText="1"/>
    </xf>
    <xf numFmtId="0" fontId="8" fillId="3" borderId="0" xfId="0" applyFont="1" applyFill="1" applyBorder="1" applyAlignment="1">
      <alignment horizontal="center"/>
    </xf>
    <xf numFmtId="164" fontId="0" fillId="3" borderId="38" xfId="1" applyNumberFormat="1" applyFont="1" applyFill="1" applyBorder="1" applyAlignment="1">
      <alignment horizontal="center" wrapText="1"/>
    </xf>
    <xf numFmtId="164" fontId="0" fillId="3" borderId="0" xfId="1" applyNumberFormat="1" applyFont="1" applyFill="1" applyBorder="1" applyAlignment="1">
      <alignment horizontal="center" wrapText="1"/>
    </xf>
    <xf numFmtId="0" fontId="8" fillId="3" borderId="38" xfId="0" applyFont="1" applyFill="1" applyBorder="1" applyAlignment="1">
      <alignment horizontal="right"/>
    </xf>
    <xf numFmtId="0" fontId="8" fillId="3" borderId="0" xfId="0" applyFont="1" applyFill="1" applyBorder="1" applyAlignment="1">
      <alignment horizontal="right"/>
    </xf>
    <xf numFmtId="0" fontId="0" fillId="3" borderId="0" xfId="1" applyNumberFormat="1" applyFont="1" applyFill="1" applyBorder="1" applyAlignment="1">
      <alignment horizontal="center"/>
    </xf>
    <xf numFmtId="0" fontId="8" fillId="3" borderId="0" xfId="0" applyFont="1" applyFill="1" applyBorder="1" applyAlignment="1">
      <alignment horizontal="center" wrapText="1"/>
    </xf>
    <xf numFmtId="0" fontId="8" fillId="3" borderId="33" xfId="0" applyFont="1" applyFill="1" applyBorder="1" applyAlignment="1">
      <alignment horizontal="right"/>
    </xf>
    <xf numFmtId="0" fontId="8" fillId="3" borderId="7" xfId="0" applyFont="1" applyFill="1" applyBorder="1" applyAlignment="1">
      <alignment horizontal="right"/>
    </xf>
    <xf numFmtId="164" fontId="0" fillId="3" borderId="0" xfId="1" applyNumberFormat="1" applyFont="1" applyFill="1" applyBorder="1" applyAlignment="1">
      <alignment horizontal="center"/>
    </xf>
    <xf numFmtId="0" fontId="0" fillId="3" borderId="38" xfId="0" applyFill="1" applyBorder="1" applyAlignment="1">
      <alignment horizontal="left" wrapText="1" indent="1"/>
    </xf>
    <xf numFmtId="0" fontId="0" fillId="3" borderId="0" xfId="0" applyFill="1" applyBorder="1" applyAlignment="1">
      <alignment horizontal="left" wrapText="1" indent="1"/>
    </xf>
    <xf numFmtId="0" fontId="0" fillId="3" borderId="52" xfId="0" applyFill="1" applyBorder="1" applyAlignment="1">
      <alignment horizontal="left" wrapText="1" indent="1"/>
    </xf>
    <xf numFmtId="0" fontId="8" fillId="3" borderId="52" xfId="0" applyFont="1" applyFill="1" applyBorder="1" applyAlignment="1">
      <alignment horizontal="center"/>
    </xf>
    <xf numFmtId="2" fontId="0" fillId="3" borderId="38" xfId="0" applyNumberFormat="1" applyFill="1" applyBorder="1" applyAlignment="1">
      <alignment horizontal="left"/>
    </xf>
    <xf numFmtId="2" fontId="0" fillId="3" borderId="52" xfId="0" applyNumberFormat="1" applyFill="1" applyBorder="1" applyAlignment="1">
      <alignment horizontal="left"/>
    </xf>
    <xf numFmtId="0" fontId="0" fillId="3" borderId="38" xfId="0" applyFill="1" applyBorder="1" applyAlignment="1">
      <alignment horizontal="center"/>
    </xf>
    <xf numFmtId="0" fontId="0" fillId="3" borderId="0" xfId="0" applyFill="1" applyBorder="1" applyAlignment="1">
      <alignment horizontal="center"/>
    </xf>
    <xf numFmtId="0" fontId="0" fillId="3" borderId="52" xfId="0" applyFill="1" applyBorder="1" applyAlignment="1">
      <alignment horizontal="center"/>
    </xf>
    <xf numFmtId="0" fontId="8" fillId="3" borderId="38" xfId="0" applyFont="1" applyFill="1" applyBorder="1" applyAlignment="1">
      <alignment horizontal="center" wrapText="1"/>
    </xf>
    <xf numFmtId="0" fontId="0" fillId="3" borderId="38" xfId="0" applyFill="1" applyBorder="1" applyAlignment="1">
      <alignment horizontal="left" vertical="center" wrapText="1"/>
    </xf>
    <xf numFmtId="0" fontId="0" fillId="3" borderId="0" xfId="0" applyFill="1" applyBorder="1" applyAlignment="1">
      <alignment horizontal="left" vertical="center" wrapText="1"/>
    </xf>
    <xf numFmtId="0" fontId="0" fillId="3" borderId="52" xfId="0" applyFill="1" applyBorder="1" applyAlignment="1">
      <alignment horizontal="left" vertical="center" wrapText="1"/>
    </xf>
  </cellXfs>
  <cellStyles count="6">
    <cellStyle name="Comma" xfId="1" builtinId="3"/>
    <cellStyle name="Currency" xfId="3" builtinId="4"/>
    <cellStyle name="Normal" xfId="0" builtinId="0"/>
    <cellStyle name="Normal 2" xfId="5" xr:uid="{00000000-0005-0000-0000-000003000000}"/>
    <cellStyle name="Normal 3" xfId="4" xr:uid="{00000000-0005-0000-0000-000004000000}"/>
    <cellStyle name="Percent" xfId="2" builtinId="5"/>
  </cellStyles>
  <dxfs count="0"/>
  <tableStyles count="1" defaultTableStyle="TableStyleMedium9" defaultPivotStyle="PivotStyleLight16">
    <tableStyle name="Table Style 1" pivot="0" count="0" xr9:uid="{00000000-0011-0000-FFFF-FFFF00000000}"/>
  </tableStyles>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a:extLst>
            <a:ext uri="{FF2B5EF4-FFF2-40B4-BE49-F238E27FC236}">
              <a16:creationId xmlns:a16="http://schemas.microsoft.com/office/drawing/2014/main" id="{00000000-0008-0000-0000-000002000000}"/>
            </a:ext>
          </a:extLst>
        </xdr:cNvPr>
        <xdr:cNvSpPr/>
      </xdr:nvSpPr>
      <xdr:spPr>
        <a:xfrm>
          <a:off x="0" y="1386427"/>
          <a:ext cx="9544050" cy="1090073"/>
        </a:xfrm>
        <a:prstGeom prst="rect">
          <a:avLst/>
        </a:prstGeom>
        <a:noFill/>
      </xdr:spPr>
      <xdr:txBody>
        <a:bodyPr wrap="square" lIns="91440" tIns="45720" rIns="91440" bIns="45720">
          <a:noAutofit/>
        </a:bodyPr>
        <a:lstStyle/>
        <a:p>
          <a:pPr algn="ctr"/>
          <a:r>
            <a:rPr lang="en-US" sz="66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Cow Herd System Budget</a:t>
          </a:r>
        </a:p>
      </xdr:txBody>
    </xdr:sp>
    <xdr:clientData/>
  </xdr:oneCellAnchor>
  <xdr:oneCellAnchor>
    <xdr:from>
      <xdr:col>0</xdr:col>
      <xdr:colOff>9526</xdr:colOff>
      <xdr:row>19</xdr:row>
      <xdr:rowOff>91027</xdr:rowOff>
    </xdr:from>
    <xdr:ext cx="9391650" cy="518573"/>
    <xdr:sp macro="" textlink="">
      <xdr:nvSpPr>
        <xdr:cNvPr id="3" name="Rectangle 2">
          <a:extLst>
            <a:ext uri="{FF2B5EF4-FFF2-40B4-BE49-F238E27FC236}">
              <a16:creationId xmlns:a16="http://schemas.microsoft.com/office/drawing/2014/main" id="{00000000-0008-0000-0000-000003000000}"/>
            </a:ext>
          </a:extLst>
        </xdr:cNvPr>
        <xdr:cNvSpPr/>
      </xdr:nvSpPr>
      <xdr:spPr>
        <a:xfrm>
          <a:off x="9526" y="3167602"/>
          <a:ext cx="9391650" cy="518573"/>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Glennis McClure, Extension Educator /Farm &amp; Ranch</a:t>
          </a:r>
          <a:r>
            <a:rPr lang="en-US" sz="2000" b="1" cap="none" spc="0" baseline="0">
              <a:ln w="10541" cmpd="sng">
                <a:solidFill>
                  <a:schemeClr val="accent1">
                    <a:shade val="88000"/>
                    <a:satMod val="110000"/>
                  </a:schemeClr>
                </a:solidFill>
                <a:prstDash val="solid"/>
              </a:ln>
              <a:solidFill>
                <a:schemeClr val="tx1"/>
              </a:solidFill>
              <a:effectLst/>
            </a:rPr>
            <a:t> Management Analyst</a:t>
          </a:r>
          <a:endParaRPr lang="en-US" sz="20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314325</xdr:colOff>
      <xdr:row>23</xdr:row>
      <xdr:rowOff>47625</xdr:rowOff>
    </xdr:from>
    <xdr:to>
      <xdr:col>14</xdr:col>
      <xdr:colOff>333375</xdr:colOff>
      <xdr:row>33</xdr:row>
      <xdr:rowOff>85726</xdr:rowOff>
    </xdr:to>
    <xdr:sp macro="" textlink="">
      <xdr:nvSpPr>
        <xdr:cNvPr id="5" name="Rounded Rectangle 4">
          <a:extLst>
            <a:ext uri="{FF2B5EF4-FFF2-40B4-BE49-F238E27FC236}">
              <a16:creationId xmlns:a16="http://schemas.microsoft.com/office/drawing/2014/main" id="{00000000-0008-0000-0000-000005000000}"/>
            </a:ext>
          </a:extLst>
        </xdr:cNvPr>
        <xdr:cNvSpPr/>
      </xdr:nvSpPr>
      <xdr:spPr>
        <a:xfrm>
          <a:off x="923925" y="3771900"/>
          <a:ext cx="7943850" cy="1657351"/>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endParaRPr lang="en-US" sz="1600" b="1">
            <a:solidFill>
              <a:srgbClr val="002060"/>
            </a:solidFill>
          </a:endParaRPr>
        </a:p>
        <a:p>
          <a:pPr algn="l"/>
          <a:endParaRPr lang="en-US" sz="1600" b="1">
            <a:solidFill>
              <a:srgbClr val="002060"/>
            </a:solidFill>
          </a:endParaRPr>
        </a:p>
        <a:p>
          <a:pPr algn="l"/>
          <a:r>
            <a:rPr lang="en-US" sz="1600" b="1">
              <a:solidFill>
                <a:srgbClr val="002060"/>
              </a:solidFill>
            </a:rPr>
            <a:t>This budgeting workbook is designed for the medium and small sized operator</a:t>
          </a:r>
          <a:r>
            <a:rPr lang="en-US" sz="1600" b="1" baseline="0">
              <a:solidFill>
                <a:srgbClr val="002060"/>
              </a:solidFill>
            </a:rPr>
            <a:t>.  It includes spreadsheets for analyzing the components of a beef production system separately but provides a combined analysis as well.  </a:t>
          </a:r>
        </a:p>
        <a:p>
          <a:pPr algn="l"/>
          <a:endParaRPr lang="en-US" sz="1600" b="1" baseline="0">
            <a:solidFill>
              <a:srgbClr val="002060"/>
            </a:solidFill>
          </a:endParaRPr>
        </a:p>
        <a:p>
          <a:pPr algn="l"/>
          <a:r>
            <a:rPr lang="en-US" sz="1600" b="1" baseline="0">
              <a:solidFill>
                <a:srgbClr val="002060"/>
              </a:solidFill>
            </a:rPr>
            <a:t>This template provides an example of a </a:t>
          </a:r>
          <a:r>
            <a:rPr lang="en-US" sz="1600" b="1" u="sng" baseline="0">
              <a:solidFill>
                <a:srgbClr val="002060"/>
              </a:solidFill>
            </a:rPr>
            <a:t>300 cow herd based in southwest Nebraska</a:t>
          </a:r>
          <a:r>
            <a:rPr lang="en-US" sz="1600" b="1" baseline="0">
              <a:solidFill>
                <a:srgbClr val="002060"/>
              </a:solidFill>
            </a:rPr>
            <a:t>. It may be modified for various herd sizes, practices, and locations.  </a:t>
          </a:r>
        </a:p>
        <a:p>
          <a:pPr algn="l"/>
          <a:endParaRPr lang="en-US" sz="1600" b="1" baseline="0">
            <a:solidFill>
              <a:srgbClr val="002060"/>
            </a:solidFill>
          </a:endParaRPr>
        </a:p>
        <a:p>
          <a:pPr algn="l"/>
          <a:endParaRPr lang="en-US" sz="1600" b="1" baseline="0">
            <a:solidFill>
              <a:srgbClr val="002060"/>
            </a:solidFill>
          </a:endParaRPr>
        </a:p>
        <a:p>
          <a:pPr algn="l"/>
          <a:endParaRPr lang="en-US" sz="1600" b="1">
            <a:solidFill>
              <a:srgbClr val="00206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6" name="Picture 5" descr="ExtBanner.pn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editAs="oneCell">
    <xdr:from>
      <xdr:col>0</xdr:col>
      <xdr:colOff>581025</xdr:colOff>
      <xdr:row>38</xdr:row>
      <xdr:rowOff>127806</xdr:rowOff>
    </xdr:from>
    <xdr:to>
      <xdr:col>2</xdr:col>
      <xdr:colOff>285750</xdr:colOff>
      <xdr:row>46</xdr:row>
      <xdr:rowOff>80394</xdr:rowOff>
    </xdr:to>
    <xdr:pic>
      <xdr:nvPicPr>
        <xdr:cNvPr id="7" name="Picture 6" descr="ianr-n.gif">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stretch>
          <a:fillRect/>
        </a:stretch>
      </xdr:blipFill>
      <xdr:spPr>
        <a:xfrm>
          <a:off x="581025" y="6280956"/>
          <a:ext cx="923925" cy="1247988"/>
        </a:xfrm>
        <a:prstGeom prst="rect">
          <a:avLst/>
        </a:prstGeom>
      </xdr:spPr>
    </xdr:pic>
    <xdr:clientData/>
  </xdr:twoCellAnchor>
  <xdr:twoCellAnchor>
    <xdr:from>
      <xdr:col>2</xdr:col>
      <xdr:colOff>552450</xdr:colOff>
      <xdr:row>38</xdr:row>
      <xdr:rowOff>76199</xdr:rowOff>
    </xdr:from>
    <xdr:to>
      <xdr:col>14</xdr:col>
      <xdr:colOff>219075</xdr:colOff>
      <xdr:row>46</xdr:row>
      <xdr:rowOff>104774</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771650" y="6229349"/>
          <a:ext cx="6981825" cy="132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Extension is a Division of the Institute of Agriculture</a:t>
          </a:r>
          <a:r>
            <a:rPr lang="en-US" sz="1100" baseline="0"/>
            <a:t> and Natural Resources at the University of Nebraska - Lincoln cooperating with the Counties and the United States Department of Agriculture. University of Nebraska - Lincoln Extension programs abide with the nondiscrimination policies of the University of Nebraska - Lincoln and the United States Department of Agriculture.</a:t>
          </a:r>
        </a:p>
        <a:p>
          <a:endParaRPr lang="en-US" sz="1100" baseline="0">
            <a:latin typeface="+mj-lt"/>
          </a:endParaRPr>
        </a:p>
        <a:p>
          <a:r>
            <a:rPr lang="en-US" sz="1100">
              <a:latin typeface="+mn-lt"/>
              <a:cs typeface="Arial"/>
            </a:rPr>
            <a:t>© The Board of Regents of the University</a:t>
          </a:r>
          <a:r>
            <a:rPr lang="en-US" sz="1100" baseline="0">
              <a:latin typeface="+mn-lt"/>
              <a:cs typeface="Arial"/>
            </a:rPr>
            <a:t> of Nebraska on behalf of the University of Nebraska - Lincoln Extension. All rights reserved.</a:t>
          </a:r>
          <a:endParaRPr lang="en-US" sz="1100">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752475</xdr:colOff>
      <xdr:row>14</xdr:row>
      <xdr:rowOff>28574</xdr:rowOff>
    </xdr:from>
    <xdr:to>
      <xdr:col>6</xdr:col>
      <xdr:colOff>542925</xdr:colOff>
      <xdr:row>21</xdr:row>
      <xdr:rowOff>76200</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3638550" y="2905124"/>
          <a:ext cx="4238625" cy="1181101"/>
        </a:xfrm>
        <a:prstGeom prst="rect">
          <a:avLst/>
        </a:prstGeom>
        <a:solidFill>
          <a:srgbClr val="00B050"/>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a:t>Include only feed fed to develop</a:t>
          </a:r>
          <a:r>
            <a:rPr lang="en-US" sz="1400" b="1" baseline="0"/>
            <a:t> heifers from weaning until the following crop of replacement heifers are weaned.  These feed costs are carried forward to the "Breeding Herd" spreadsheet. Other expenses are included as part of that analysis.</a:t>
          </a:r>
          <a:endParaRPr lang="en-US" sz="1400" b="1"/>
        </a:p>
      </xdr:txBody>
    </xdr:sp>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personal/gmcclure3_unl_edu/Documents/Livestock%20budgets/Beef%20Systems%20-%20Cow%20Calf%20Budgets/Central%20Neb%20-%20Broken%20Bow%20group/600%20cow%20herd%20budget%20Central%20NE%20-RW%20update%200921-marketing%20expense.xlsx?B4C5E396" TargetMode="External"/><Relationship Id="rId1" Type="http://schemas.openxmlformats.org/officeDocument/2006/relationships/externalLinkPath" Target="file:///\\B4C5E396\600%20cow%20herd%20budget%20Central%20NE%20-RW%20update%200921-marketing%20expen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Inputs"/>
      <sheetName val="Bulls"/>
      <sheetName val="Replacements"/>
      <sheetName val="Breeding Herd"/>
      <sheetName val="Backgrounding"/>
      <sheetName val="Stocker"/>
      <sheetName val="Feedlot"/>
      <sheetName val="Fed Cull Cow"/>
      <sheetName val="System"/>
    </sheetNames>
    <sheetDataSet>
      <sheetData sheetId="0"/>
      <sheetData sheetId="1">
        <row r="88">
          <cell r="E88" t="str">
            <v>per animal</v>
          </cell>
          <cell r="X88">
            <v>25</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
  <sheetViews>
    <sheetView tabSelected="1" zoomScaleNormal="100" workbookViewId="0">
      <selection activeCell="A3" sqref="A3"/>
    </sheetView>
  </sheetViews>
  <sheetFormatPr defaultColWidth="9.140625" defaultRowHeight="12.75"/>
  <cols>
    <col min="1" max="16384" width="9.140625" style="43"/>
  </cols>
  <sheetData>
    <row r="1" spans="1:1">
      <c r="A1" s="43" t="s">
        <v>261</v>
      </c>
    </row>
  </sheetData>
  <pageMargins left="0.7" right="0.7" top="0.75" bottom="0.75" header="0.3" footer="0.3"/>
  <pageSetup scale="5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AC104"/>
  <sheetViews>
    <sheetView showZeros="0" topLeftCell="A85" zoomScaleNormal="100" workbookViewId="0">
      <selection activeCell="A2" sqref="A2"/>
    </sheetView>
  </sheetViews>
  <sheetFormatPr defaultColWidth="9.140625" defaultRowHeight="12.75"/>
  <cols>
    <col min="1" max="1" width="15.28515625" style="152" customWidth="1"/>
    <col min="2" max="2" width="26.7109375" style="152" customWidth="1"/>
    <col min="3" max="6" width="12.28515625" style="152" customWidth="1"/>
    <col min="7" max="7" width="13.5703125" style="152" customWidth="1"/>
    <col min="8" max="8" width="4.42578125" style="153" customWidth="1"/>
    <col min="9" max="9" width="0" style="222" hidden="1" customWidth="1"/>
    <col min="10" max="12" width="0" style="153" hidden="1" customWidth="1"/>
    <col min="13" max="25" width="9.140625" style="153"/>
    <col min="26" max="29" width="9.140625" style="152"/>
    <col min="30" max="16384" width="9.140625" style="150"/>
  </cols>
  <sheetData>
    <row r="1" spans="1:29" s="152" customFormat="1" ht="18.75" thickBot="1">
      <c r="B1" s="44" t="s">
        <v>243</v>
      </c>
      <c r="C1" s="100"/>
      <c r="D1" s="100"/>
      <c r="E1" s="100"/>
      <c r="F1" s="763" t="s">
        <v>277</v>
      </c>
      <c r="G1" s="100"/>
      <c r="H1" s="153"/>
      <c r="I1" s="416"/>
      <c r="J1" s="216"/>
      <c r="K1" s="216"/>
      <c r="L1" s="216"/>
      <c r="S1" s="153"/>
      <c r="T1" s="153"/>
      <c r="U1" s="153"/>
      <c r="V1" s="153"/>
      <c r="W1" s="153"/>
      <c r="X1" s="153"/>
      <c r="Y1" s="153"/>
    </row>
    <row r="2" spans="1:29" ht="16.5" thickBot="1">
      <c r="B2" s="66" t="s">
        <v>96</v>
      </c>
      <c r="C2" s="108"/>
      <c r="D2" s="109"/>
      <c r="E2" s="109"/>
      <c r="F2" s="109"/>
      <c r="G2" s="118" t="s">
        <v>73</v>
      </c>
      <c r="I2" s="416"/>
      <c r="J2" s="217"/>
      <c r="K2" s="217"/>
      <c r="L2" s="217"/>
    </row>
    <row r="3" spans="1:29">
      <c r="B3" s="71"/>
      <c r="C3" s="36" t="s">
        <v>43</v>
      </c>
      <c r="D3" s="69" t="s">
        <v>29</v>
      </c>
      <c r="E3" s="69" t="s">
        <v>5</v>
      </c>
      <c r="F3" s="69"/>
      <c r="G3" s="72" t="s">
        <v>30</v>
      </c>
      <c r="I3" s="416"/>
      <c r="J3" s="462"/>
      <c r="K3" s="217"/>
      <c r="L3" s="217"/>
    </row>
    <row r="4" spans="1:29">
      <c r="B4" s="249" t="s">
        <v>179</v>
      </c>
      <c r="C4" s="646">
        <f>ROUND(Inputs!G23/2,0)-Inputs!G32</f>
        <v>0</v>
      </c>
      <c r="D4" s="49">
        <f>IF(C4=0,0,Inputs!G24)</f>
        <v>0</v>
      </c>
      <c r="E4" s="49">
        <f>IF(C4=0,0,Inputs!G26)</f>
        <v>0</v>
      </c>
      <c r="F4" s="49">
        <f>IF(C4=0,0,"$ / cwt")</f>
        <v>0</v>
      </c>
      <c r="G4" s="445">
        <f t="shared" ref="G4:G15" si="0">C4*D4*E4/100</f>
        <v>0</v>
      </c>
      <c r="I4" s="416"/>
      <c r="J4" s="217"/>
      <c r="K4" s="217"/>
      <c r="L4" s="217"/>
    </row>
    <row r="5" spans="1:29">
      <c r="B5" s="249" t="s">
        <v>180</v>
      </c>
      <c r="C5" s="646">
        <f>ROUND(Inputs!G23/2,0)-Inputs!G7-Inputs!G9+Inputs!G13-Inputs!G35</f>
        <v>8</v>
      </c>
      <c r="D5" s="250">
        <f>IF(C5=0,0,Inputs!G25)</f>
        <v>525</v>
      </c>
      <c r="E5" s="250">
        <f>IF(C5=0,0,Inputs!G27)</f>
        <v>160</v>
      </c>
      <c r="F5" s="250" t="str">
        <f t="shared" ref="F5:F15" si="1">IF(C5=0,0,"$ / cwt")</f>
        <v>$ / cwt</v>
      </c>
      <c r="G5" s="445">
        <f t="shared" si="0"/>
        <v>6720</v>
      </c>
      <c r="I5" s="416"/>
      <c r="J5" s="217"/>
      <c r="K5" s="217"/>
      <c r="L5" s="217"/>
    </row>
    <row r="6" spans="1:29" s="219" customFormat="1">
      <c r="A6" s="276"/>
      <c r="B6" s="249" t="s">
        <v>274</v>
      </c>
      <c r="C6" s="646">
        <f>Inputs!G32-Inputs!O32-Inputs!G42</f>
        <v>140</v>
      </c>
      <c r="D6" s="189">
        <f>IF(C6=0,0,Inputs!G33)</f>
        <v>700</v>
      </c>
      <c r="E6" s="189">
        <f>IF(C6=0,0,Inputs!G34)</f>
        <v>165</v>
      </c>
      <c r="F6" s="250" t="str">
        <f t="shared" si="1"/>
        <v>$ / cwt</v>
      </c>
      <c r="G6" s="445">
        <f t="shared" si="0"/>
        <v>161700</v>
      </c>
      <c r="H6" s="221"/>
      <c r="I6" s="416"/>
      <c r="J6" s="217"/>
      <c r="K6" s="217"/>
      <c r="L6" s="217"/>
      <c r="M6" s="221"/>
      <c r="N6" s="221"/>
      <c r="O6" s="221"/>
      <c r="P6" s="221"/>
      <c r="Q6" s="221"/>
      <c r="R6" s="221"/>
      <c r="S6" s="221"/>
      <c r="T6" s="221"/>
      <c r="U6" s="221"/>
      <c r="V6" s="221"/>
      <c r="W6" s="221"/>
      <c r="X6" s="221"/>
      <c r="Y6" s="221"/>
      <c r="Z6" s="276"/>
      <c r="AA6" s="276"/>
      <c r="AB6" s="276"/>
      <c r="AC6" s="276"/>
    </row>
    <row r="7" spans="1:29" s="219" customFormat="1">
      <c r="A7" s="276"/>
      <c r="B7" s="249" t="s">
        <v>275</v>
      </c>
      <c r="C7" s="646">
        <f>Inputs!G35-Inputs!O35-Inputs!G45</f>
        <v>115</v>
      </c>
      <c r="D7" s="189">
        <f>IF(C7=0,0,Inputs!G36)</f>
        <v>650</v>
      </c>
      <c r="E7" s="189">
        <f>IF(C7=0,0,Inputs!G37)</f>
        <v>158</v>
      </c>
      <c r="F7" s="250" t="str">
        <f t="shared" si="1"/>
        <v>$ / cwt</v>
      </c>
      <c r="G7" s="445">
        <f t="shared" si="0"/>
        <v>118105</v>
      </c>
      <c r="H7" s="221"/>
      <c r="I7" s="416"/>
      <c r="J7" s="217"/>
      <c r="K7" s="217"/>
      <c r="L7" s="217"/>
      <c r="M7" s="221"/>
      <c r="N7" s="221"/>
      <c r="O7" s="221"/>
      <c r="P7" s="221"/>
      <c r="Q7" s="221"/>
      <c r="R7" s="221"/>
      <c r="S7" s="221"/>
      <c r="T7" s="221"/>
      <c r="U7" s="221"/>
      <c r="V7" s="221"/>
      <c r="W7" s="221"/>
      <c r="X7" s="221"/>
      <c r="Y7" s="221"/>
      <c r="Z7" s="276"/>
      <c r="AA7" s="276"/>
      <c r="AB7" s="276"/>
      <c r="AC7" s="276"/>
    </row>
    <row r="8" spans="1:29" s="219" customFormat="1">
      <c r="A8" s="276"/>
      <c r="B8" s="249" t="s">
        <v>181</v>
      </c>
      <c r="C8" s="646">
        <f>Inputs!G42-Inputs!O42-Inputs!G52</f>
        <v>0</v>
      </c>
      <c r="D8" s="189">
        <f>IF(C8=0,0,Inputs!G43)</f>
        <v>0</v>
      </c>
      <c r="E8" s="189">
        <f>IF(C8=0,0,Inputs!G44)</f>
        <v>0</v>
      </c>
      <c r="F8" s="250">
        <f t="shared" si="1"/>
        <v>0</v>
      </c>
      <c r="G8" s="445">
        <f t="shared" si="0"/>
        <v>0</v>
      </c>
      <c r="H8" s="221"/>
      <c r="I8" s="416"/>
      <c r="J8" s="217"/>
      <c r="K8" s="217"/>
      <c r="L8" s="217"/>
      <c r="M8" s="221"/>
      <c r="N8" s="221"/>
      <c r="O8" s="221"/>
      <c r="P8" s="221"/>
      <c r="Q8" s="221"/>
      <c r="R8" s="221"/>
      <c r="S8" s="221"/>
      <c r="T8" s="221"/>
      <c r="U8" s="221"/>
      <c r="V8" s="221"/>
      <c r="W8" s="221"/>
      <c r="X8" s="221"/>
      <c r="Y8" s="221"/>
      <c r="Z8" s="276"/>
      <c r="AA8" s="276"/>
      <c r="AB8" s="276"/>
      <c r="AC8" s="276"/>
    </row>
    <row r="9" spans="1:29" s="219" customFormat="1">
      <c r="A9" s="276"/>
      <c r="B9" s="249" t="s">
        <v>182</v>
      </c>
      <c r="C9" s="646">
        <f>Inputs!G45-Inputs!O45-Inputs!G55</f>
        <v>0</v>
      </c>
      <c r="D9" s="189">
        <f>IF(C9=0,0,Inputs!G46)</f>
        <v>0</v>
      </c>
      <c r="E9" s="189">
        <f>IF(C9=0,0,Inputs!G47)</f>
        <v>0</v>
      </c>
      <c r="F9" s="250">
        <f t="shared" si="1"/>
        <v>0</v>
      </c>
      <c r="G9" s="445">
        <f t="shared" si="0"/>
        <v>0</v>
      </c>
      <c r="H9" s="221"/>
      <c r="I9" s="416"/>
      <c r="J9" s="217"/>
      <c r="K9" s="217"/>
      <c r="L9" s="217"/>
      <c r="M9" s="221"/>
      <c r="N9" s="221"/>
      <c r="O9" s="221"/>
      <c r="P9" s="221"/>
      <c r="Q9" s="221"/>
      <c r="R9" s="221"/>
      <c r="S9" s="221"/>
      <c r="T9" s="221"/>
      <c r="U9" s="221"/>
      <c r="V9" s="221"/>
      <c r="W9" s="221"/>
      <c r="X9" s="221"/>
      <c r="Y9" s="221"/>
      <c r="Z9" s="276"/>
      <c r="AA9" s="276"/>
      <c r="AB9" s="276"/>
      <c r="AC9" s="276"/>
    </row>
    <row r="10" spans="1:29" s="219" customFormat="1">
      <c r="A10" s="276"/>
      <c r="B10" s="249" t="s">
        <v>183</v>
      </c>
      <c r="C10" s="646">
        <f>Inputs!G52-Inputs!O52</f>
        <v>0</v>
      </c>
      <c r="D10" s="189">
        <f>IF(C10=0,0,Inputs!G53)</f>
        <v>0</v>
      </c>
      <c r="E10" s="189">
        <f>IF(C10=0,0,Inputs!G54)</f>
        <v>0</v>
      </c>
      <c r="F10" s="250">
        <f t="shared" si="1"/>
        <v>0</v>
      </c>
      <c r="G10" s="445">
        <f t="shared" si="0"/>
        <v>0</v>
      </c>
      <c r="H10" s="221"/>
      <c r="I10" s="416"/>
      <c r="J10" s="217"/>
      <c r="K10" s="217"/>
      <c r="L10" s="217"/>
      <c r="M10" s="221"/>
      <c r="N10" s="221"/>
      <c r="O10" s="221"/>
      <c r="P10" s="221"/>
      <c r="Q10" s="221"/>
      <c r="R10" s="221"/>
      <c r="S10" s="221"/>
      <c r="T10" s="221"/>
      <c r="U10" s="221"/>
      <c r="V10" s="221"/>
      <c r="W10" s="221"/>
      <c r="X10" s="221"/>
      <c r="Y10" s="221"/>
      <c r="Z10" s="276"/>
      <c r="AA10" s="276"/>
      <c r="AB10" s="276"/>
      <c r="AC10" s="276"/>
    </row>
    <row r="11" spans="1:29">
      <c r="B11" s="249" t="s">
        <v>184</v>
      </c>
      <c r="C11" s="647">
        <f>Inputs!G55-Inputs!O55</f>
        <v>0</v>
      </c>
      <c r="D11" s="189">
        <f>IF(C11=0,0,Inputs!G56)</f>
        <v>0</v>
      </c>
      <c r="E11" s="189">
        <f>IF(C11=0,0,Inputs!G57)</f>
        <v>0</v>
      </c>
      <c r="F11" s="250">
        <f t="shared" si="1"/>
        <v>0</v>
      </c>
      <c r="G11" s="445">
        <f t="shared" si="0"/>
        <v>0</v>
      </c>
      <c r="I11" s="416"/>
      <c r="J11" s="217"/>
      <c r="K11" s="217"/>
      <c r="L11" s="217"/>
    </row>
    <row r="12" spans="1:29">
      <c r="B12" s="27" t="s">
        <v>84</v>
      </c>
      <c r="C12" s="647">
        <f>Inputs!G5-Inputs!G62</f>
        <v>29</v>
      </c>
      <c r="D12" s="189">
        <f>IF(C12=0,0,Inputs!G15)</f>
        <v>1300</v>
      </c>
      <c r="E12" s="49">
        <f>IF(C12=0,0,Inputs!G16)</f>
        <v>64</v>
      </c>
      <c r="F12" s="250" t="str">
        <f t="shared" si="1"/>
        <v>$ / cwt</v>
      </c>
      <c r="G12" s="445">
        <f t="shared" si="0"/>
        <v>24128</v>
      </c>
      <c r="I12" s="416"/>
      <c r="J12" s="217"/>
      <c r="K12" s="217"/>
      <c r="L12" s="217"/>
    </row>
    <row r="13" spans="1:29" s="219" customFormat="1">
      <c r="A13" s="276"/>
      <c r="B13" s="249" t="s">
        <v>239</v>
      </c>
      <c r="C13" s="647">
        <f>Inputs!O63</f>
        <v>0</v>
      </c>
      <c r="D13" s="189">
        <f>IF(C13=0,0,Inputs!G63)</f>
        <v>0</v>
      </c>
      <c r="E13" s="250">
        <f>IF(C13=0,0,Inputs!G64)</f>
        <v>0</v>
      </c>
      <c r="F13" s="250">
        <f>IF(C13=0,0,"$ / cwt")</f>
        <v>0</v>
      </c>
      <c r="G13" s="445">
        <f t="shared" si="0"/>
        <v>0</v>
      </c>
      <c r="H13" s="221"/>
      <c r="I13" s="416"/>
      <c r="J13" s="217"/>
      <c r="K13" s="217"/>
      <c r="L13" s="217"/>
      <c r="M13" s="221"/>
      <c r="N13" s="221"/>
      <c r="O13" s="221"/>
      <c r="P13" s="221"/>
      <c r="Q13" s="221"/>
      <c r="R13" s="221"/>
      <c r="S13" s="221"/>
      <c r="T13" s="221"/>
      <c r="U13" s="221"/>
      <c r="V13" s="221"/>
      <c r="W13" s="221"/>
      <c r="X13" s="221"/>
      <c r="Y13" s="221"/>
      <c r="Z13" s="276"/>
      <c r="AA13" s="276"/>
      <c r="AB13" s="276"/>
      <c r="AC13" s="276"/>
    </row>
    <row r="14" spans="1:29">
      <c r="B14" s="27" t="s">
        <v>74</v>
      </c>
      <c r="C14" s="646">
        <f>Bulls!C4</f>
        <v>2.3759999999999999</v>
      </c>
      <c r="D14" s="189">
        <f>IF(C14=0,0,Inputs!G22)</f>
        <v>1800</v>
      </c>
      <c r="E14" s="225">
        <f>IF(C14=0,0,Bulls!F4)</f>
        <v>85</v>
      </c>
      <c r="F14" s="250" t="str">
        <f t="shared" si="1"/>
        <v>$ / cwt</v>
      </c>
      <c r="G14" s="445">
        <f t="shared" si="0"/>
        <v>3635.28</v>
      </c>
      <c r="I14" s="416"/>
      <c r="J14" s="217"/>
      <c r="K14" s="217"/>
      <c r="L14" s="217"/>
    </row>
    <row r="15" spans="1:29">
      <c r="B15" s="48" t="s">
        <v>139</v>
      </c>
      <c r="C15" s="646">
        <f>'Breeding Herd'!C7</f>
        <v>0</v>
      </c>
      <c r="D15" s="189">
        <f>IF(C15=0,0,'Breeding Herd'!E7)</f>
        <v>0</v>
      </c>
      <c r="E15" s="225">
        <f>IF(C15=0,0,'Breeding Herd'!F7)</f>
        <v>0</v>
      </c>
      <c r="F15" s="250">
        <f t="shared" si="1"/>
        <v>0</v>
      </c>
      <c r="G15" s="445">
        <f t="shared" si="0"/>
        <v>0</v>
      </c>
      <c r="I15" s="416"/>
      <c r="J15" s="217"/>
      <c r="K15" s="217"/>
      <c r="L15" s="217"/>
    </row>
    <row r="16" spans="1:29" ht="13.5" thickBot="1">
      <c r="B16" s="48"/>
      <c r="C16" s="646"/>
      <c r="D16" s="49"/>
      <c r="E16" s="49"/>
      <c r="F16" s="49"/>
      <c r="G16" s="650"/>
      <c r="I16" s="416"/>
      <c r="J16" s="217"/>
      <c r="K16" s="217"/>
      <c r="L16" s="217"/>
    </row>
    <row r="17" spans="2:21" ht="16.5" thickBot="1">
      <c r="B17" s="66"/>
      <c r="C17" s="42"/>
      <c r="D17" s="38"/>
      <c r="E17" s="38"/>
      <c r="F17" s="21" t="s">
        <v>32</v>
      </c>
      <c r="G17" s="651">
        <f>SUM(G4:G16)</f>
        <v>314288.28000000003</v>
      </c>
      <c r="I17" s="416"/>
      <c r="J17" s="217"/>
      <c r="K17" s="217"/>
      <c r="L17" s="217"/>
    </row>
    <row r="18" spans="2:21" ht="13.5" thickBot="1">
      <c r="B18" s="151"/>
      <c r="C18" s="49"/>
      <c r="D18" s="49"/>
      <c r="E18" s="49"/>
      <c r="F18" s="49"/>
      <c r="G18" s="596"/>
      <c r="I18" s="416"/>
      <c r="J18" s="217"/>
      <c r="K18" s="217"/>
      <c r="L18" s="217"/>
    </row>
    <row r="19" spans="2:21" ht="16.5" thickBot="1">
      <c r="B19" s="66" t="s">
        <v>33</v>
      </c>
      <c r="C19" s="108"/>
      <c r="D19" s="109"/>
      <c r="E19" s="109"/>
      <c r="F19" s="109"/>
      <c r="G19" s="652" t="s">
        <v>73</v>
      </c>
      <c r="I19" s="416"/>
      <c r="J19" s="217"/>
      <c r="K19" s="217"/>
      <c r="L19" s="217"/>
    </row>
    <row r="20" spans="2:21">
      <c r="B20" s="78" t="s">
        <v>68</v>
      </c>
      <c r="C20" s="36" t="s">
        <v>43</v>
      </c>
      <c r="D20" s="69" t="s">
        <v>5</v>
      </c>
      <c r="E20" s="45"/>
      <c r="F20" s="45"/>
      <c r="G20" s="653" t="s">
        <v>30</v>
      </c>
      <c r="I20" s="416"/>
      <c r="J20" s="217"/>
      <c r="K20" s="217"/>
      <c r="L20" s="217"/>
    </row>
    <row r="21" spans="2:21">
      <c r="B21" s="249" t="s">
        <v>185</v>
      </c>
      <c r="C21" s="73">
        <f>'Breeding Herd'!C14</f>
        <v>18</v>
      </c>
      <c r="D21" s="365">
        <f>Inputs!G14</f>
        <v>2000</v>
      </c>
      <c r="E21" s="49" t="s">
        <v>34</v>
      </c>
      <c r="F21" s="49"/>
      <c r="G21" s="445">
        <f>C21*D21</f>
        <v>36000</v>
      </c>
      <c r="I21" s="416"/>
      <c r="J21" s="217"/>
      <c r="K21" s="217"/>
      <c r="L21" s="217"/>
    </row>
    <row r="22" spans="2:21" ht="13.5" thickBot="1">
      <c r="B22" s="48" t="s">
        <v>75</v>
      </c>
      <c r="C22" s="74">
        <f>IF(Inputs!G19=0,0,Inputs!G17/Inputs!G19)</f>
        <v>2.4</v>
      </c>
      <c r="D22" s="365">
        <f>Inputs!G18</f>
        <v>3000</v>
      </c>
      <c r="E22" s="49" t="s">
        <v>34</v>
      </c>
      <c r="F22" s="49"/>
      <c r="G22" s="450">
        <f>C22*D22</f>
        <v>7200</v>
      </c>
      <c r="I22" s="416"/>
      <c r="J22" s="217"/>
      <c r="K22" s="217"/>
      <c r="L22" s="217"/>
    </row>
    <row r="23" spans="2:21" ht="13.5" thickTop="1">
      <c r="B23" s="27"/>
      <c r="C23" s="94"/>
      <c r="D23" s="49"/>
      <c r="E23" s="49"/>
      <c r="F23" s="58" t="s">
        <v>56</v>
      </c>
      <c r="G23" s="654">
        <f>SUM(G21:G22)</f>
        <v>43200</v>
      </c>
      <c r="I23" s="416"/>
      <c r="J23" s="217"/>
      <c r="K23" s="217"/>
      <c r="L23" s="217"/>
    </row>
    <row r="24" spans="2:21">
      <c r="B24" s="48"/>
      <c r="C24" s="32"/>
      <c r="D24" s="58"/>
      <c r="E24" s="49"/>
      <c r="F24" s="49"/>
      <c r="G24" s="596"/>
      <c r="I24" s="416"/>
      <c r="J24" s="217"/>
      <c r="K24" s="217"/>
      <c r="L24" s="217"/>
    </row>
    <row r="25" spans="2:21" ht="12.75" customHeight="1">
      <c r="B25" s="48"/>
      <c r="C25" s="843" t="s">
        <v>55</v>
      </c>
      <c r="D25" s="55"/>
      <c r="E25" s="49"/>
      <c r="F25" s="49"/>
      <c r="G25" s="596"/>
      <c r="I25" s="416"/>
      <c r="J25" s="217"/>
      <c r="K25" s="217"/>
      <c r="L25" s="217"/>
    </row>
    <row r="26" spans="2:21" ht="14.25" customHeight="1">
      <c r="B26" s="79" t="s">
        <v>7</v>
      </c>
      <c r="C26" s="843"/>
      <c r="D26" s="49"/>
      <c r="E26" s="39" t="s">
        <v>5</v>
      </c>
      <c r="F26" s="49"/>
      <c r="G26" s="597" t="s">
        <v>30</v>
      </c>
      <c r="I26" s="416"/>
      <c r="J26" s="420"/>
      <c r="K26" s="420"/>
      <c r="L26" s="420"/>
      <c r="M26" s="412"/>
      <c r="N26" s="412"/>
      <c r="O26" s="412"/>
      <c r="P26" s="412"/>
      <c r="Q26" s="412"/>
    </row>
    <row r="27" spans="2:21" ht="12.75" customHeight="1">
      <c r="B27" s="48" t="str">
        <f>IF(Inputs!B68="","",Inputs!B68)</f>
        <v>Creep Feed</v>
      </c>
      <c r="C27" s="648">
        <f>IF(Inputs!G68=0,0,I27/Inputs!G68)</f>
        <v>0</v>
      </c>
      <c r="D27" s="372" t="str">
        <f t="shared" ref="D27:D35" si="2">IFERROR(VLOOKUP(B27,Feed, 4,FALSE)&amp;"  @","")</f>
        <v>ton  @</v>
      </c>
      <c r="E27" s="50">
        <f t="shared" ref="E27:E35" si="3">IF(B27="","",VLOOKUP($B27,Feed,3,FALSE))</f>
        <v>300</v>
      </c>
      <c r="F27" s="49" t="str">
        <f t="shared" ref="F27:F35" si="4">IF(B27="","",CONCATENATE("per ",VLOOKUP(B27,Feed,4,FALSE)))</f>
        <v>per ton</v>
      </c>
      <c r="G27" s="445">
        <f>IFERROR(C27*E27,0)</f>
        <v>0</v>
      </c>
      <c r="I27" s="416">
        <f>SUM('Bulls:Fed Cull Cow'!M8)</f>
        <v>0</v>
      </c>
      <c r="J27" s="420"/>
      <c r="K27" s="217"/>
      <c r="L27" s="416">
        <f>SUM('Bulls:Fed Cull Cow'!P8)</f>
        <v>0</v>
      </c>
      <c r="S27" s="412">
        <f>SUM('Bulls:Fed Cull Cow'!W8)</f>
        <v>0</v>
      </c>
      <c r="U27" s="412">
        <f>SUM('Bulls:Fed Cull Cow'!Y8)</f>
        <v>0</v>
      </c>
    </row>
    <row r="28" spans="2:21" ht="14.25" customHeight="1">
      <c r="B28" s="48" t="str">
        <f>IF(Inputs!B69="","",Inputs!B69)</f>
        <v xml:space="preserve">Pasture </v>
      </c>
      <c r="C28" s="648">
        <f>IF(Inputs!G69=0,0,I28/Inputs!G69)</f>
        <v>1657</v>
      </c>
      <c r="D28" s="372" t="str">
        <f t="shared" si="2"/>
        <v>1 month  @</v>
      </c>
      <c r="E28" s="251">
        <f t="shared" si="3"/>
        <v>50</v>
      </c>
      <c r="F28" s="250" t="str">
        <f t="shared" si="4"/>
        <v>per 1 month</v>
      </c>
      <c r="G28" s="445">
        <f t="shared" ref="G28:G36" si="5">IFERROR(C28*E28,0)</f>
        <v>82850</v>
      </c>
      <c r="I28" s="416">
        <f>SUM('Bulls:Fed Cull Cow'!N8)</f>
        <v>49710</v>
      </c>
      <c r="J28" s="420"/>
      <c r="K28" s="420"/>
      <c r="L28" s="416"/>
      <c r="M28" s="412"/>
      <c r="N28" s="412"/>
      <c r="O28" s="412"/>
      <c r="P28" s="412"/>
      <c r="Q28" s="412"/>
    </row>
    <row r="29" spans="2:21">
      <c r="B29" s="48" t="str">
        <f>IF(Inputs!B70="","",Inputs!B70)</f>
        <v>Prairie Hay</v>
      </c>
      <c r="C29" s="648">
        <f>IF(Inputs!G70=0,0,I29/Inputs!G70)</f>
        <v>394.2</v>
      </c>
      <c r="D29" s="372" t="str">
        <f t="shared" si="2"/>
        <v>ton  @</v>
      </c>
      <c r="E29" s="251">
        <f t="shared" si="3"/>
        <v>130</v>
      </c>
      <c r="F29" s="250" t="str">
        <f t="shared" si="4"/>
        <v>per ton</v>
      </c>
      <c r="G29" s="445">
        <f t="shared" si="5"/>
        <v>51246</v>
      </c>
      <c r="I29" s="416">
        <f>SUM('Bulls:Fed Cull Cow'!O8)</f>
        <v>788400</v>
      </c>
      <c r="J29" s="420"/>
      <c r="K29" s="420"/>
      <c r="L29" s="416"/>
      <c r="M29" s="412"/>
      <c r="N29" s="412"/>
      <c r="O29" s="412"/>
      <c r="P29" s="412"/>
      <c r="Q29" s="412"/>
    </row>
    <row r="30" spans="2:21">
      <c r="B30" s="48" t="str">
        <f>IF(Inputs!B71="","",Inputs!B71)</f>
        <v>Alfalfa</v>
      </c>
      <c r="C30" s="648">
        <f>IF(Inputs!G71=0,0,I30/Inputs!G71)</f>
        <v>0</v>
      </c>
      <c r="D30" s="372" t="str">
        <f t="shared" si="2"/>
        <v>ton  @</v>
      </c>
      <c r="E30" s="251">
        <f t="shared" si="3"/>
        <v>190</v>
      </c>
      <c r="F30" s="250" t="str">
        <f t="shared" si="4"/>
        <v>per ton</v>
      </c>
      <c r="G30" s="445">
        <f t="shared" si="5"/>
        <v>0</v>
      </c>
      <c r="I30" s="416">
        <f>SUM('Bulls:Fed Cull Cow'!P8)</f>
        <v>0</v>
      </c>
      <c r="J30" s="420"/>
      <c r="K30" s="420"/>
      <c r="L30" s="416"/>
      <c r="M30" s="412"/>
      <c r="N30" s="412"/>
      <c r="O30" s="412"/>
      <c r="P30" s="412"/>
      <c r="Q30" s="412"/>
    </row>
    <row r="31" spans="2:21">
      <c r="B31" s="48" t="str">
        <f>IF(Inputs!B72="","",Inputs!B72)</f>
        <v>DDG Cubes</v>
      </c>
      <c r="C31" s="648">
        <f>IF(Inputs!G72=0,0,I31/Inputs!G72)</f>
        <v>75</v>
      </c>
      <c r="D31" s="372" t="str">
        <f t="shared" si="2"/>
        <v>ton  @</v>
      </c>
      <c r="E31" s="251">
        <f t="shared" si="3"/>
        <v>300</v>
      </c>
      <c r="F31" s="250" t="str">
        <f t="shared" si="4"/>
        <v>per ton</v>
      </c>
      <c r="G31" s="445">
        <f t="shared" si="5"/>
        <v>22500</v>
      </c>
      <c r="I31" s="416">
        <f>SUM('Bulls:Fed Cull Cow'!Q8)</f>
        <v>150000</v>
      </c>
      <c r="J31" s="420"/>
      <c r="K31" s="420"/>
      <c r="L31" s="416"/>
      <c r="M31" s="412"/>
      <c r="N31" s="412"/>
      <c r="O31" s="412"/>
      <c r="P31" s="412"/>
      <c r="Q31" s="412"/>
    </row>
    <row r="32" spans="2:21">
      <c r="B32" s="48" t="str">
        <f>IF(Inputs!B73="","",Inputs!B73)</f>
        <v>Salt and Mineral</v>
      </c>
      <c r="C32" s="648">
        <f>IF(Inputs!G73=0,0,I32/Inputs!G73)</f>
        <v>15.90375</v>
      </c>
      <c r="D32" s="372" t="str">
        <f t="shared" si="2"/>
        <v>ton  @</v>
      </c>
      <c r="E32" s="251">
        <f t="shared" si="3"/>
        <v>900</v>
      </c>
      <c r="F32" s="250" t="str">
        <f t="shared" si="4"/>
        <v>per ton</v>
      </c>
      <c r="G32" s="445">
        <f t="shared" si="5"/>
        <v>14313.375</v>
      </c>
      <c r="I32" s="416">
        <f>SUM('Bulls:Fed Cull Cow'!R8)</f>
        <v>508920</v>
      </c>
      <c r="J32" s="420"/>
      <c r="K32" s="420"/>
      <c r="L32" s="416"/>
      <c r="M32" s="412"/>
      <c r="N32" s="412"/>
      <c r="O32" s="412"/>
      <c r="P32" s="412"/>
      <c r="Q32" s="412"/>
    </row>
    <row r="33" spans="1:29">
      <c r="B33" s="48" t="str">
        <f>IF(Inputs!B74="","",Inputs!B74)</f>
        <v>Silage</v>
      </c>
      <c r="C33" s="648">
        <f>IF(Inputs!G74=0,0,I33/Inputs!G74)</f>
        <v>0</v>
      </c>
      <c r="D33" s="372" t="str">
        <f t="shared" si="2"/>
        <v>ton  @</v>
      </c>
      <c r="E33" s="251">
        <f t="shared" si="3"/>
        <v>40</v>
      </c>
      <c r="F33" s="250" t="str">
        <f t="shared" si="4"/>
        <v>per ton</v>
      </c>
      <c r="G33" s="445">
        <f t="shared" si="5"/>
        <v>0</v>
      </c>
      <c r="I33" s="416">
        <f>SUM('Bulls:Fed Cull Cow'!S8)</f>
        <v>0</v>
      </c>
      <c r="J33" s="420"/>
      <c r="K33" s="420"/>
      <c r="L33" s="416"/>
      <c r="M33" s="412"/>
      <c r="N33" s="412"/>
      <c r="O33" s="412"/>
      <c r="P33" s="412"/>
      <c r="Q33" s="412"/>
    </row>
    <row r="34" spans="1:29">
      <c r="B34" s="48" t="str">
        <f>IF(Inputs!B75="","",Inputs!B75)</f>
        <v>Corn</v>
      </c>
      <c r="C34" s="648">
        <f>IF(Inputs!G75=0,0,I34/Inputs!G75)</f>
        <v>1138.3928571428571</v>
      </c>
      <c r="D34" s="372" t="str">
        <f t="shared" si="2"/>
        <v>bu  @</v>
      </c>
      <c r="E34" s="251">
        <f t="shared" si="3"/>
        <v>5.4</v>
      </c>
      <c r="F34" s="250" t="str">
        <f t="shared" si="4"/>
        <v>per bu</v>
      </c>
      <c r="G34" s="445">
        <f t="shared" si="5"/>
        <v>6147.3214285714284</v>
      </c>
      <c r="I34" s="416">
        <f>SUM('Bulls:Fed Cull Cow'!T8)</f>
        <v>63750</v>
      </c>
      <c r="J34" s="420"/>
      <c r="K34" s="420"/>
      <c r="L34" s="416"/>
      <c r="M34" s="412"/>
      <c r="N34" s="412"/>
      <c r="O34" s="412"/>
      <c r="P34" s="412"/>
      <c r="Q34" s="412"/>
    </row>
    <row r="35" spans="1:29">
      <c r="B35" s="48" t="str">
        <f>IF(Inputs!B76="","",Inputs!B76)</f>
        <v>Wet Distiller's Grain</v>
      </c>
      <c r="C35" s="648">
        <f>IF(Inputs!G76=0,0,I35/Inputs!G76)</f>
        <v>54.8</v>
      </c>
      <c r="D35" s="372" t="str">
        <f t="shared" si="2"/>
        <v>ton  @</v>
      </c>
      <c r="E35" s="251">
        <f t="shared" si="3"/>
        <v>100</v>
      </c>
      <c r="F35" s="250" t="str">
        <f t="shared" si="4"/>
        <v>per ton</v>
      </c>
      <c r="G35" s="445">
        <f t="shared" si="5"/>
        <v>5480</v>
      </c>
      <c r="I35" s="416">
        <f>SUM('Bulls:Fed Cull Cow'!U8)</f>
        <v>109600</v>
      </c>
      <c r="J35" s="420"/>
      <c r="K35" s="420"/>
      <c r="L35" s="416"/>
      <c r="M35" s="412"/>
      <c r="N35" s="412"/>
      <c r="O35" s="412"/>
      <c r="P35" s="412"/>
      <c r="Q35" s="412"/>
    </row>
    <row r="36" spans="1:29" ht="13.5" thickBot="1">
      <c r="B36" s="48" t="str">
        <f>IF(Inputs!B77="","",Inputs!B77)</f>
        <v>Corn Stalks</v>
      </c>
      <c r="C36" s="648">
        <f>IF(Inputs!G77=0,0,I36/Inputs!G77)</f>
        <v>39120</v>
      </c>
      <c r="D36" s="411" t="str">
        <f>IFERROR(VLOOKUP(B36,Feed, 4,FALSE)&amp;"s  @","")</f>
        <v>days  @</v>
      </c>
      <c r="E36" s="251">
        <f>IF(B36="","",VLOOKUP($B36,Feed,3,FALSE))</f>
        <v>0.5</v>
      </c>
      <c r="F36" s="49" t="str">
        <f>IF(B36="","",CONCATENATE("per ",VLOOKUP(B36,Feed,4,FALSE)))</f>
        <v>per day</v>
      </c>
      <c r="G36" s="450">
        <f t="shared" si="5"/>
        <v>19560</v>
      </c>
      <c r="I36" s="416">
        <f>SUM('Bulls:Fed Cull Cow'!V8)</f>
        <v>39120</v>
      </c>
      <c r="J36" s="420"/>
      <c r="K36" s="420"/>
      <c r="L36" s="416"/>
      <c r="M36" s="412"/>
      <c r="N36" s="412"/>
      <c r="O36" s="412"/>
      <c r="P36" s="412"/>
      <c r="Q36" s="412"/>
    </row>
    <row r="37" spans="1:29" ht="13.5" thickTop="1">
      <c r="B37" s="48"/>
      <c r="C37" s="649"/>
      <c r="D37" s="49"/>
      <c r="E37" s="49"/>
      <c r="F37" s="28" t="s">
        <v>35</v>
      </c>
      <c r="G37" s="525">
        <f>SUM(G27:G36)</f>
        <v>202096.69642857142</v>
      </c>
    </row>
    <row r="38" spans="1:29">
      <c r="B38" s="48"/>
      <c r="C38" s="31"/>
      <c r="D38" s="49"/>
      <c r="E38" s="49"/>
      <c r="F38" s="49"/>
      <c r="G38" s="596"/>
    </row>
    <row r="39" spans="1:29">
      <c r="B39" s="79" t="s">
        <v>46</v>
      </c>
      <c r="C39" s="31"/>
      <c r="D39" s="83"/>
      <c r="E39" s="39"/>
      <c r="F39" s="39"/>
      <c r="G39" s="597" t="s">
        <v>30</v>
      </c>
    </row>
    <row r="40" spans="1:29">
      <c r="B40" s="211" t="str">
        <f>Inputs!B81</f>
        <v>Labor</v>
      </c>
      <c r="C40" s="31"/>
      <c r="D40" s="80"/>
      <c r="E40" s="57"/>
      <c r="F40" s="57"/>
      <c r="G40" s="445">
        <f>'Breeding Herd'!H28+'Pre-condition Calves'!H25+Stocker!H25+Feedlot!H25+'Fed Cull Cow'!H24</f>
        <v>2972.4855006262142</v>
      </c>
    </row>
    <row r="41" spans="1:29">
      <c r="B41" s="249" t="str">
        <f>Inputs!B82</f>
        <v xml:space="preserve">Fuel / transportation </v>
      </c>
      <c r="C41" s="31"/>
      <c r="D41" s="80"/>
      <c r="E41" s="57"/>
      <c r="F41" s="57"/>
      <c r="G41" s="445">
        <f>'Breeding Herd'!H29+'Pre-condition Calves'!H26+Stocker!H26+Feedlot!H26+'Fed Cull Cow'!H25</f>
        <v>4458.7282509393217</v>
      </c>
    </row>
    <row r="42" spans="1:29">
      <c r="B42" s="249" t="str">
        <f>Inputs!B83</f>
        <v>Veterinary and Medical</v>
      </c>
      <c r="C42" s="31"/>
      <c r="D42" s="80"/>
      <c r="E42" s="57"/>
      <c r="F42" s="57"/>
      <c r="G42" s="445">
        <f>'Fed Cull Cow'!H26+Feedlot!H27+Stocker!H27+'Pre-condition Calves'!H27+'Breeding Herd'!H30</f>
        <v>8917.4565018786434</v>
      </c>
    </row>
    <row r="43" spans="1:29">
      <c r="B43" s="249" t="str">
        <f>Inputs!B84</f>
        <v>Cull Cow Marketing</v>
      </c>
      <c r="C43" s="31"/>
      <c r="D43" s="80"/>
      <c r="E43" s="57"/>
      <c r="F43" s="57"/>
      <c r="G43" s="445">
        <f>'Fed Cull Cow'!H27+'Breeding Herd'!H31</f>
        <v>870</v>
      </c>
    </row>
    <row r="44" spans="1:29">
      <c r="B44" s="249" t="str">
        <f>Inputs!B85</f>
        <v>Cull Bull Marketing</v>
      </c>
      <c r="C44" s="31"/>
      <c r="D44" s="80"/>
      <c r="E44" s="57"/>
      <c r="F44" s="57"/>
      <c r="G44" s="445">
        <f>Bulls!H23</f>
        <v>71.28</v>
      </c>
    </row>
    <row r="45" spans="1:29" s="219" customFormat="1">
      <c r="A45" s="276"/>
      <c r="B45" s="249" t="str">
        <f>Inputs!B86</f>
        <v>Cull Replacement Marketing</v>
      </c>
      <c r="C45" s="242"/>
      <c r="D45" s="263"/>
      <c r="E45" s="256"/>
      <c r="F45" s="256"/>
      <c r="G45" s="445">
        <f>'Breeding Herd'!H32</f>
        <v>0</v>
      </c>
      <c r="H45" s="221"/>
      <c r="I45" s="222"/>
      <c r="J45" s="221"/>
      <c r="K45" s="221"/>
      <c r="L45" s="221"/>
      <c r="M45" s="221"/>
      <c r="N45" s="221"/>
      <c r="O45" s="221"/>
      <c r="P45" s="221"/>
      <c r="Q45" s="221"/>
      <c r="R45" s="221"/>
      <c r="S45" s="221"/>
      <c r="T45" s="221"/>
      <c r="U45" s="221"/>
      <c r="V45" s="221"/>
      <c r="W45" s="221"/>
      <c r="X45" s="221"/>
      <c r="Y45" s="221"/>
      <c r="Z45" s="276"/>
      <c r="AA45" s="276"/>
      <c r="AB45" s="276"/>
      <c r="AC45" s="276"/>
    </row>
    <row r="46" spans="1:29" s="219" customFormat="1">
      <c r="A46" s="276"/>
      <c r="B46" s="249" t="str">
        <f>Inputs!B87</f>
        <v>Weaned Calf Marketing</v>
      </c>
      <c r="C46" s="242"/>
      <c r="D46" s="263"/>
      <c r="E46" s="256"/>
      <c r="F46" s="256"/>
      <c r="G46" s="445">
        <f>'Breeding Herd'!H33</f>
        <v>5260</v>
      </c>
      <c r="H46" s="221"/>
      <c r="I46" s="222"/>
      <c r="J46" s="221"/>
      <c r="K46" s="221"/>
      <c r="L46" s="221"/>
      <c r="M46" s="221"/>
      <c r="N46" s="221"/>
      <c r="O46" s="221"/>
      <c r="P46" s="221"/>
      <c r="Q46" s="221"/>
      <c r="R46" s="221"/>
      <c r="S46" s="221"/>
      <c r="T46" s="221"/>
      <c r="U46" s="221"/>
      <c r="V46" s="221"/>
      <c r="W46" s="221"/>
      <c r="X46" s="221"/>
      <c r="Y46" s="221"/>
      <c r="Z46" s="276"/>
      <c r="AA46" s="276"/>
      <c r="AB46" s="276"/>
      <c r="AC46" s="276"/>
    </row>
    <row r="47" spans="1:29" s="219" customFormat="1">
      <c r="A47" s="276"/>
      <c r="B47" s="249" t="str">
        <f>Inputs!B88</f>
        <v>Backgrounded Calf Marketing -Adj.</v>
      </c>
      <c r="C47" s="242"/>
      <c r="D47" s="263"/>
      <c r="E47" s="256"/>
      <c r="F47" s="256"/>
      <c r="G47" s="445">
        <f>'Pre-condition Calves'!H28</f>
        <v>1275</v>
      </c>
      <c r="H47" s="221"/>
      <c r="I47" s="222"/>
      <c r="J47" s="221"/>
      <c r="K47" s="221"/>
      <c r="L47" s="221"/>
      <c r="M47" s="221"/>
      <c r="N47" s="221"/>
      <c r="O47" s="221"/>
      <c r="P47" s="221"/>
      <c r="Q47" s="221"/>
      <c r="R47" s="221"/>
      <c r="S47" s="221"/>
      <c r="T47" s="221"/>
      <c r="U47" s="221"/>
      <c r="V47" s="221"/>
      <c r="W47" s="221"/>
      <c r="X47" s="221"/>
      <c r="Y47" s="221"/>
      <c r="Z47" s="276"/>
      <c r="AA47" s="276"/>
      <c r="AB47" s="276"/>
      <c r="AC47" s="276"/>
    </row>
    <row r="48" spans="1:29">
      <c r="B48" s="249" t="str">
        <f>Inputs!B89</f>
        <v>Stocker Marketing</v>
      </c>
      <c r="C48" s="31"/>
      <c r="D48" s="80"/>
      <c r="E48" s="57"/>
      <c r="F48" s="57"/>
      <c r="G48" s="445">
        <f>Stocker!H28</f>
        <v>0</v>
      </c>
    </row>
    <row r="49" spans="1:29" s="219" customFormat="1">
      <c r="A49" s="276"/>
      <c r="B49" s="249" t="str">
        <f>Inputs!B90</f>
        <v>Feedlot Marketing</v>
      </c>
      <c r="C49" s="242"/>
      <c r="D49" s="263"/>
      <c r="E49" s="256"/>
      <c r="F49" s="256"/>
      <c r="G49" s="445">
        <f>Feedlot!H28</f>
        <v>0</v>
      </c>
      <c r="H49" s="221"/>
      <c r="I49" s="222"/>
      <c r="J49" s="221"/>
      <c r="K49" s="221"/>
      <c r="L49" s="221"/>
      <c r="M49" s="221"/>
      <c r="N49" s="221"/>
      <c r="O49" s="221"/>
      <c r="P49" s="221"/>
      <c r="Q49" s="221"/>
      <c r="R49" s="221"/>
      <c r="S49" s="221"/>
      <c r="T49" s="221"/>
      <c r="U49" s="221"/>
      <c r="V49" s="221"/>
      <c r="W49" s="221"/>
      <c r="X49" s="221"/>
      <c r="Y49" s="221"/>
      <c r="Z49" s="276"/>
      <c r="AA49" s="276"/>
      <c r="AB49" s="276"/>
      <c r="AC49" s="276"/>
    </row>
    <row r="50" spans="1:29" s="219" customFormat="1">
      <c r="A50" s="276"/>
      <c r="B50" s="249">
        <f>Inputs!B91</f>
        <v>0</v>
      </c>
      <c r="C50" s="242"/>
      <c r="D50" s="263"/>
      <c r="E50" s="256"/>
      <c r="F50" s="256"/>
      <c r="G50" s="445">
        <f>'Breeding Herd'!H34+'Pre-condition Calves'!H29+Stocker!H29+Feedlot!H29+'Fed Cull Cow'!H28</f>
        <v>0</v>
      </c>
      <c r="H50" s="221"/>
      <c r="I50" s="222"/>
      <c r="J50" s="221"/>
      <c r="K50" s="221"/>
      <c r="L50" s="221"/>
      <c r="M50" s="221"/>
      <c r="N50" s="221"/>
      <c r="O50" s="221"/>
      <c r="P50" s="221"/>
      <c r="Q50" s="221"/>
      <c r="R50" s="221"/>
      <c r="S50" s="221"/>
      <c r="T50" s="221"/>
      <c r="U50" s="221"/>
      <c r="V50" s="221"/>
      <c r="W50" s="221"/>
      <c r="X50" s="221"/>
      <c r="Y50" s="221"/>
      <c r="Z50" s="276"/>
      <c r="AA50" s="276"/>
      <c r="AB50" s="276"/>
      <c r="AC50" s="276"/>
    </row>
    <row r="51" spans="1:29" s="219" customFormat="1">
      <c r="A51" s="276"/>
      <c r="B51" s="249">
        <f>Inputs!B92</f>
        <v>0</v>
      </c>
      <c r="C51" s="242"/>
      <c r="D51" s="263"/>
      <c r="E51" s="256"/>
      <c r="F51" s="256"/>
      <c r="G51" s="445">
        <f>'Breeding Herd'!H35+'Pre-condition Calves'!H30+Stocker!H30+Feedlot!H30+'Fed Cull Cow'!H29</f>
        <v>0</v>
      </c>
      <c r="H51" s="221"/>
      <c r="I51" s="222"/>
      <c r="J51" s="221"/>
      <c r="K51" s="221"/>
      <c r="L51" s="221"/>
      <c r="M51" s="221"/>
      <c r="N51" s="221"/>
      <c r="O51" s="221"/>
      <c r="P51" s="221"/>
      <c r="Q51" s="221"/>
      <c r="R51" s="221"/>
      <c r="S51" s="221"/>
      <c r="T51" s="221"/>
      <c r="U51" s="221"/>
      <c r="V51" s="221"/>
      <c r="W51" s="221"/>
      <c r="X51" s="221"/>
      <c r="Y51" s="221"/>
      <c r="Z51" s="276"/>
      <c r="AA51" s="276"/>
      <c r="AB51" s="276"/>
      <c r="AC51" s="276"/>
    </row>
    <row r="52" spans="1:29" s="219" customFormat="1">
      <c r="A52" s="276"/>
      <c r="B52" s="249">
        <f>Inputs!B93</f>
        <v>0</v>
      </c>
      <c r="C52" s="242"/>
      <c r="D52" s="263"/>
      <c r="E52" s="256"/>
      <c r="F52" s="256"/>
      <c r="G52" s="445">
        <f>'Breeding Herd'!H36+'Pre-condition Calves'!H31+Stocker!H31+Feedlot!H31+'Fed Cull Cow'!H30</f>
        <v>0</v>
      </c>
      <c r="H52" s="221"/>
      <c r="I52" s="222"/>
      <c r="J52" s="221"/>
      <c r="K52" s="221"/>
      <c r="L52" s="221"/>
      <c r="M52" s="221"/>
      <c r="N52" s="221"/>
      <c r="O52" s="221"/>
      <c r="P52" s="221"/>
      <c r="Q52" s="221"/>
      <c r="R52" s="221"/>
      <c r="S52" s="221"/>
      <c r="T52" s="221"/>
      <c r="U52" s="221"/>
      <c r="V52" s="221"/>
      <c r="W52" s="221"/>
      <c r="X52" s="221"/>
      <c r="Y52" s="221"/>
      <c r="Z52" s="276"/>
      <c r="AA52" s="276"/>
      <c r="AB52" s="276"/>
      <c r="AC52" s="276"/>
    </row>
    <row r="53" spans="1:29" s="219" customFormat="1">
      <c r="A53" s="276"/>
      <c r="B53" s="249">
        <f>Inputs!B94</f>
        <v>0</v>
      </c>
      <c r="C53" s="242"/>
      <c r="D53" s="263"/>
      <c r="E53" s="256"/>
      <c r="F53" s="256"/>
      <c r="G53" s="445">
        <f>'Breeding Herd'!H37+'Pre-condition Calves'!H32+Stocker!H32+Feedlot!H32+'Fed Cull Cow'!H31</f>
        <v>0</v>
      </c>
      <c r="H53" s="221"/>
      <c r="I53" s="222"/>
      <c r="J53" s="221"/>
      <c r="K53" s="221"/>
      <c r="L53" s="221"/>
      <c r="M53" s="221"/>
      <c r="N53" s="221"/>
      <c r="O53" s="221"/>
      <c r="P53" s="221"/>
      <c r="Q53" s="221"/>
      <c r="R53" s="221"/>
      <c r="S53" s="221"/>
      <c r="T53" s="221"/>
      <c r="U53" s="221"/>
      <c r="V53" s="221"/>
      <c r="W53" s="221"/>
      <c r="X53" s="221"/>
      <c r="Y53" s="221"/>
      <c r="Z53" s="276"/>
      <c r="AA53" s="276"/>
      <c r="AB53" s="276"/>
      <c r="AC53" s="276"/>
    </row>
    <row r="54" spans="1:29" s="219" customFormat="1">
      <c r="A54" s="276"/>
      <c r="B54" s="249">
        <f>Inputs!B95</f>
        <v>0</v>
      </c>
      <c r="C54" s="242"/>
      <c r="D54" s="263"/>
      <c r="E54" s="256"/>
      <c r="F54" s="256"/>
      <c r="G54" s="445">
        <f>'Breeding Herd'!H38+'Pre-condition Calves'!H33+Stocker!H33+Feedlot!H33+'Fed Cull Cow'!H32</f>
        <v>0</v>
      </c>
      <c r="H54" s="221"/>
      <c r="I54" s="222"/>
      <c r="J54" s="221"/>
      <c r="K54" s="221"/>
      <c r="L54" s="221"/>
      <c r="M54" s="221"/>
      <c r="N54" s="221"/>
      <c r="O54" s="221"/>
      <c r="P54" s="221"/>
      <c r="Q54" s="221"/>
      <c r="R54" s="221"/>
      <c r="S54" s="221"/>
      <c r="T54" s="221"/>
      <c r="U54" s="221"/>
      <c r="V54" s="221"/>
      <c r="W54" s="221"/>
      <c r="X54" s="221"/>
      <c r="Y54" s="221"/>
      <c r="Z54" s="276"/>
      <c r="AA54" s="276"/>
      <c r="AB54" s="276"/>
      <c r="AC54" s="276"/>
    </row>
    <row r="55" spans="1:29" ht="42.75" customHeight="1" thickBot="1">
      <c r="B55" s="173" t="s">
        <v>36</v>
      </c>
      <c r="C55" s="844" t="s">
        <v>117</v>
      </c>
      <c r="D55" s="845"/>
      <c r="E55" s="845"/>
      <c r="F55" s="846"/>
      <c r="G55" s="457">
        <f>'Breeding Herd'!H39+Bulls!H24+'Pre-condition Calves'!H34+Stocker!H34+Feedlot!H34+'Fed Cull Cow'!H33</f>
        <v>8480.0058664673415</v>
      </c>
    </row>
    <row r="56" spans="1:29" ht="14.25" thickTop="1" thickBot="1">
      <c r="B56" s="51"/>
      <c r="C56" s="34"/>
      <c r="D56" s="52"/>
      <c r="E56" s="49"/>
      <c r="F56" s="59" t="s">
        <v>48</v>
      </c>
      <c r="G56" s="655">
        <f>SUM(G40:G55)</f>
        <v>32304.95611991152</v>
      </c>
    </row>
    <row r="57" spans="1:29" ht="16.5" thickBot="1">
      <c r="B57" s="66"/>
      <c r="C57" s="38"/>
      <c r="D57" s="38"/>
      <c r="E57" s="38"/>
      <c r="F57" s="21" t="s">
        <v>37</v>
      </c>
      <c r="G57" s="651">
        <f>G23+G37+G56</f>
        <v>277601.65254848293</v>
      </c>
    </row>
    <row r="58" spans="1:29" ht="13.5" thickBot="1">
      <c r="B58" s="48"/>
      <c r="C58" s="49"/>
      <c r="D58" s="49"/>
      <c r="E58" s="58"/>
      <c r="F58" s="58"/>
      <c r="G58" s="656"/>
    </row>
    <row r="59" spans="1:29" ht="16.5" thickBot="1">
      <c r="B59" s="66" t="s">
        <v>108</v>
      </c>
      <c r="C59" s="108"/>
      <c r="D59" s="109"/>
      <c r="E59" s="109"/>
      <c r="F59" s="109"/>
      <c r="G59" s="652" t="s">
        <v>73</v>
      </c>
    </row>
    <row r="60" spans="1:29">
      <c r="B60" s="78" t="s">
        <v>38</v>
      </c>
      <c r="C60" s="102"/>
      <c r="D60" s="69" t="s">
        <v>14</v>
      </c>
      <c r="E60" s="49"/>
      <c r="F60" s="47"/>
      <c r="G60" s="653" t="s">
        <v>30</v>
      </c>
    </row>
    <row r="61" spans="1:29">
      <c r="B61" s="48" t="str">
        <f>IF(Inputs!B99="","",Inputs!B99)</f>
        <v>Fencing</v>
      </c>
      <c r="C61" s="77"/>
      <c r="D61" s="458">
        <f>Inputs!G99</f>
        <v>1000</v>
      </c>
      <c r="E61" s="49"/>
      <c r="F61" s="56"/>
      <c r="G61" s="445">
        <f>D61</f>
        <v>1000</v>
      </c>
    </row>
    <row r="62" spans="1:29">
      <c r="B62" s="48" t="str">
        <f>IF(Inputs!B100="","",Inputs!B100)</f>
        <v>Machinery (Livestock)</v>
      </c>
      <c r="C62" s="77"/>
      <c r="D62" s="458">
        <f>Inputs!G100</f>
        <v>2000</v>
      </c>
      <c r="E62" s="49"/>
      <c r="F62" s="56"/>
      <c r="G62" s="445">
        <f t="shared" ref="G62:G69" si="6">D62</f>
        <v>2000</v>
      </c>
    </row>
    <row r="63" spans="1:29">
      <c r="B63" s="48" t="str">
        <f>IF(Inputs!B101="","",Inputs!B101)</f>
        <v>Vehicles</v>
      </c>
      <c r="C63" s="77"/>
      <c r="D63" s="458">
        <f>Inputs!G101</f>
        <v>1000</v>
      </c>
      <c r="E63" s="49"/>
      <c r="F63" s="56"/>
      <c r="G63" s="445">
        <f t="shared" si="6"/>
        <v>1000</v>
      </c>
    </row>
    <row r="64" spans="1:29">
      <c r="B64" s="48" t="str">
        <f>IF(Inputs!B102="","",Inputs!B102)</f>
        <v>Barn</v>
      </c>
      <c r="C64" s="77"/>
      <c r="D64" s="458">
        <f>Inputs!G102</f>
        <v>500</v>
      </c>
      <c r="E64" s="49"/>
      <c r="F64" s="56"/>
      <c r="G64" s="445">
        <f t="shared" si="6"/>
        <v>500</v>
      </c>
    </row>
    <row r="65" spans="2:7">
      <c r="B65" s="48">
        <f>Inputs!B104</f>
        <v>0</v>
      </c>
      <c r="C65" s="77"/>
      <c r="D65" s="458">
        <f>Inputs!G103</f>
        <v>0</v>
      </c>
      <c r="E65" s="49"/>
      <c r="F65" s="56"/>
      <c r="G65" s="445">
        <f t="shared" si="6"/>
        <v>0</v>
      </c>
    </row>
    <row r="66" spans="2:7">
      <c r="B66" s="211">
        <f>Inputs!B105</f>
        <v>0</v>
      </c>
      <c r="C66" s="77"/>
      <c r="D66" s="458">
        <f>Inputs!G104</f>
        <v>0</v>
      </c>
      <c r="E66" s="49"/>
      <c r="F66" s="56"/>
      <c r="G66" s="445">
        <f t="shared" si="6"/>
        <v>0</v>
      </c>
    </row>
    <row r="67" spans="2:7">
      <c r="B67" s="211">
        <f>Inputs!B106</f>
        <v>0</v>
      </c>
      <c r="C67" s="77"/>
      <c r="D67" s="458">
        <f>Inputs!G105</f>
        <v>0</v>
      </c>
      <c r="E67" s="49"/>
      <c r="F67" s="56"/>
      <c r="G67" s="445">
        <f t="shared" si="6"/>
        <v>0</v>
      </c>
    </row>
    <row r="68" spans="2:7">
      <c r="B68" s="211">
        <f>Inputs!B107</f>
        <v>0</v>
      </c>
      <c r="C68" s="77"/>
      <c r="D68" s="458">
        <f>Inputs!G106</f>
        <v>0</v>
      </c>
      <c r="E68" s="49"/>
      <c r="F68" s="56"/>
      <c r="G68" s="445">
        <f t="shared" si="6"/>
        <v>0</v>
      </c>
    </row>
    <row r="69" spans="2:7" ht="13.5" thickBot="1">
      <c r="B69" s="211">
        <f>Inputs!B108</f>
        <v>0</v>
      </c>
      <c r="C69" s="77"/>
      <c r="D69" s="458">
        <f>Inputs!G107</f>
        <v>0</v>
      </c>
      <c r="E69" s="49"/>
      <c r="F69" s="56"/>
      <c r="G69" s="450">
        <f t="shared" si="6"/>
        <v>0</v>
      </c>
    </row>
    <row r="70" spans="2:7" ht="13.5" thickTop="1">
      <c r="B70" s="48"/>
      <c r="C70" s="33"/>
      <c r="D70" s="57"/>
      <c r="E70" s="57"/>
      <c r="F70" s="29" t="s">
        <v>49</v>
      </c>
      <c r="G70" s="525">
        <f>SUM(G61:G69)</f>
        <v>4500</v>
      </c>
    </row>
    <row r="71" spans="2:7">
      <c r="B71" s="48"/>
      <c r="C71" s="31"/>
      <c r="D71" s="49"/>
      <c r="E71" s="49"/>
      <c r="F71" s="58"/>
      <c r="G71" s="656"/>
    </row>
    <row r="72" spans="2:7">
      <c r="B72" s="79" t="s">
        <v>53</v>
      </c>
      <c r="C72" s="31"/>
      <c r="D72" s="83"/>
      <c r="E72" s="83"/>
      <c r="F72" s="49"/>
      <c r="G72" s="597" t="s">
        <v>30</v>
      </c>
    </row>
    <row r="73" spans="2:7">
      <c r="B73" s="48" t="s">
        <v>18</v>
      </c>
      <c r="C73" s="31"/>
      <c r="D73" s="84"/>
      <c r="E73" s="84"/>
      <c r="F73" s="49"/>
      <c r="G73" s="445">
        <f>Inputs!E117</f>
        <v>0</v>
      </c>
    </row>
    <row r="74" spans="2:7">
      <c r="B74" s="48" t="s">
        <v>40</v>
      </c>
      <c r="C74" s="31"/>
      <c r="D74" s="84"/>
      <c r="E74" s="84"/>
      <c r="F74" s="49"/>
      <c r="G74" s="445">
        <f>Inputs!E118</f>
        <v>1500</v>
      </c>
    </row>
    <row r="75" spans="2:7">
      <c r="B75" s="48" t="s">
        <v>21</v>
      </c>
      <c r="C75" s="31"/>
      <c r="D75" s="84"/>
      <c r="E75" s="84"/>
      <c r="F75" s="49"/>
      <c r="G75" s="445">
        <f>Inputs!E119</f>
        <v>750</v>
      </c>
    </row>
    <row r="76" spans="2:7">
      <c r="B76" s="48" t="s">
        <v>41</v>
      </c>
      <c r="C76" s="31"/>
      <c r="D76" s="84"/>
      <c r="E76" s="84"/>
      <c r="F76" s="49"/>
      <c r="G76" s="445">
        <f>Inputs!E120</f>
        <v>0</v>
      </c>
    </row>
    <row r="77" spans="2:7" ht="13.5" thickBot="1">
      <c r="B77" s="48" t="s">
        <v>23</v>
      </c>
      <c r="C77" s="31"/>
      <c r="D77" s="84"/>
      <c r="E77" s="84"/>
      <c r="F77" s="49"/>
      <c r="G77" s="457">
        <f>Inputs!E121</f>
        <v>0</v>
      </c>
    </row>
    <row r="78" spans="2:7" ht="14.25" thickTop="1" thickBot="1">
      <c r="B78" s="51"/>
      <c r="C78" s="34"/>
      <c r="D78" s="52"/>
      <c r="E78" s="52"/>
      <c r="F78" s="59" t="s">
        <v>50</v>
      </c>
      <c r="G78" s="655">
        <f>SUM(G73:G77)</f>
        <v>2250</v>
      </c>
    </row>
    <row r="79" spans="2:7" ht="16.5" thickBot="1">
      <c r="B79" s="66"/>
      <c r="C79" s="67"/>
      <c r="D79" s="67"/>
      <c r="E79" s="67"/>
      <c r="F79" s="21" t="s">
        <v>102</v>
      </c>
      <c r="G79" s="651">
        <f>G70+G78</f>
        <v>6750</v>
      </c>
    </row>
    <row r="80" spans="2:7" ht="13.5" thickBot="1">
      <c r="B80" s="48"/>
      <c r="C80" s="49"/>
      <c r="D80" s="49"/>
      <c r="E80" s="49"/>
      <c r="F80" s="49"/>
      <c r="G80" s="596"/>
    </row>
    <row r="81" spans="2:10" ht="16.5" thickBot="1">
      <c r="B81" s="66"/>
      <c r="C81" s="67"/>
      <c r="D81" s="67"/>
      <c r="E81" s="67"/>
      <c r="F81" s="21" t="s">
        <v>110</v>
      </c>
      <c r="G81" s="651">
        <f>G57+G79</f>
        <v>284351.65254848293</v>
      </c>
    </row>
    <row r="82" spans="2:10" ht="13.5" thickBot="1">
      <c r="B82" s="48"/>
      <c r="C82" s="49"/>
      <c r="D82" s="49"/>
      <c r="E82" s="49"/>
      <c r="F82" s="49"/>
      <c r="G82" s="596"/>
    </row>
    <row r="83" spans="2:10" ht="16.5" thickBot="1">
      <c r="B83" s="66"/>
      <c r="C83" s="67"/>
      <c r="D83" s="67"/>
      <c r="E83" s="67"/>
      <c r="F83" s="21" t="s">
        <v>104</v>
      </c>
      <c r="G83" s="651">
        <f>G17-G81</f>
        <v>29936.627451517095</v>
      </c>
    </row>
    <row r="84" spans="2:10" ht="13.5" thickBot="1">
      <c r="B84" s="43" t="s">
        <v>9</v>
      </c>
      <c r="C84" s="43"/>
      <c r="D84" s="43"/>
      <c r="E84" s="43"/>
      <c r="F84" s="43"/>
      <c r="G84" s="591"/>
    </row>
    <row r="85" spans="2:10" ht="16.5" thickBot="1">
      <c r="B85" s="41" t="s">
        <v>97</v>
      </c>
      <c r="C85" s="375"/>
      <c r="D85" s="109"/>
      <c r="E85" s="109"/>
      <c r="F85" s="109"/>
      <c r="G85" s="652" t="s">
        <v>73</v>
      </c>
    </row>
    <row r="86" spans="2:10" ht="25.5">
      <c r="B86" s="374" t="s">
        <v>114</v>
      </c>
      <c r="C86" s="250"/>
      <c r="D86" s="275" t="s">
        <v>150</v>
      </c>
      <c r="E86" s="366" t="s">
        <v>112</v>
      </c>
      <c r="F86" s="47"/>
      <c r="G86" s="653" t="s">
        <v>30</v>
      </c>
    </row>
    <row r="87" spans="2:10">
      <c r="B87" s="283" t="str">
        <f>IF(Inputs!B99="","",Inputs!B99)</f>
        <v>Fencing</v>
      </c>
      <c r="C87" s="250"/>
      <c r="D87" s="365">
        <f>IF(Inputs!F99=0,0,(Inputs!D99-Inputs!E99)/Inputs!F99)</f>
        <v>750</v>
      </c>
      <c r="E87" s="365">
        <f>IF(Inputs!B99=0,0,Inputs!D99*Inputs!$E$112)</f>
        <v>750</v>
      </c>
      <c r="F87" s="56"/>
      <c r="G87" s="445">
        <f t="shared" ref="G87:G95" si="7">SUM(D87:E87)</f>
        <v>1500</v>
      </c>
    </row>
    <row r="88" spans="2:10">
      <c r="B88" s="283" t="str">
        <f>IF(Inputs!B100="","",Inputs!B100)</f>
        <v>Machinery (Livestock)</v>
      </c>
      <c r="C88" s="250"/>
      <c r="D88" s="365">
        <f>IF(Inputs!F100=0,0,(Inputs!D100-Inputs!E100)/Inputs!F100)</f>
        <v>7500</v>
      </c>
      <c r="E88" s="365">
        <f>IF(Inputs!B100=0,0,Inputs!D100*Inputs!$E$112)</f>
        <v>3000</v>
      </c>
      <c r="F88" s="56"/>
      <c r="G88" s="445">
        <f t="shared" si="7"/>
        <v>10500</v>
      </c>
    </row>
    <row r="89" spans="2:10">
      <c r="B89" s="283" t="str">
        <f>IF(Inputs!B101="","",Inputs!B101)</f>
        <v>Vehicles</v>
      </c>
      <c r="C89" s="250"/>
      <c r="D89" s="365">
        <f>IF(Inputs!F101=0,0,(Inputs!D101-Inputs!E101)/Inputs!F101)</f>
        <v>2857.1428571428573</v>
      </c>
      <c r="E89" s="365">
        <f>IF(Inputs!B101=0,0,Inputs!D101*Inputs!$E$112)</f>
        <v>900</v>
      </c>
      <c r="F89" s="56"/>
      <c r="G89" s="445">
        <f t="shared" si="7"/>
        <v>3757.1428571428573</v>
      </c>
    </row>
    <row r="90" spans="2:10">
      <c r="B90" s="283" t="str">
        <f>IF(Inputs!B102="","",Inputs!B102)</f>
        <v>Barn</v>
      </c>
      <c r="C90" s="250"/>
      <c r="D90" s="365">
        <f>IF(Inputs!F102=0,0,(Inputs!D102-Inputs!E102)/Inputs!F102)</f>
        <v>1000</v>
      </c>
      <c r="E90" s="365">
        <f>IF(Inputs!B102=0,0,Inputs!D102*Inputs!$E$112)</f>
        <v>900</v>
      </c>
      <c r="F90" s="56"/>
      <c r="G90" s="445">
        <f t="shared" si="7"/>
        <v>1900</v>
      </c>
    </row>
    <row r="91" spans="2:10">
      <c r="B91" s="283" t="str">
        <f>IF(Inputs!B104="","",Inputs!B104)</f>
        <v/>
      </c>
      <c r="C91" s="250"/>
      <c r="D91" s="365">
        <f>IF(Inputs!F103=0,0,(Inputs!D103-Inputs!E103)/Inputs!F103)</f>
        <v>0</v>
      </c>
      <c r="E91" s="365">
        <f>IF(Inputs!B103=0,0,Inputs!D103*Inputs!$E$112)</f>
        <v>0</v>
      </c>
      <c r="F91" s="56"/>
      <c r="G91" s="445">
        <f t="shared" si="7"/>
        <v>0</v>
      </c>
    </row>
    <row r="92" spans="2:10">
      <c r="B92" s="283" t="str">
        <f>IF(Inputs!B105="","",Inputs!B105)</f>
        <v/>
      </c>
      <c r="C92" s="250"/>
      <c r="D92" s="365">
        <f>IF(Inputs!F104=0,0,(Inputs!D104-Inputs!E104)/Inputs!F104)</f>
        <v>0</v>
      </c>
      <c r="E92" s="365">
        <f>IF(Inputs!B104=0,0,Inputs!D104*Inputs!$E$112)</f>
        <v>0</v>
      </c>
      <c r="F92" s="56"/>
      <c r="G92" s="445">
        <f t="shared" si="7"/>
        <v>0</v>
      </c>
    </row>
    <row r="93" spans="2:10">
      <c r="B93" s="283" t="str">
        <f>IF(Inputs!B106="","",Inputs!B106)</f>
        <v/>
      </c>
      <c r="C93" s="250"/>
      <c r="D93" s="365">
        <f>IF(Inputs!F105=0,0,(Inputs!D105-Inputs!E105)/Inputs!F105)</f>
        <v>0</v>
      </c>
      <c r="E93" s="365">
        <f>IF(Inputs!B105=0,0,Inputs!D105*Inputs!$E$112)</f>
        <v>0</v>
      </c>
      <c r="F93" s="56"/>
      <c r="G93" s="445">
        <f t="shared" si="7"/>
        <v>0</v>
      </c>
    </row>
    <row r="94" spans="2:10">
      <c r="B94" s="283" t="str">
        <f>IF(Inputs!B107="","",Inputs!B107)</f>
        <v/>
      </c>
      <c r="C94" s="250"/>
      <c r="D94" s="365">
        <f>IF(Inputs!F106=0,0,(Inputs!D106-Inputs!E106)/Inputs!F106)</f>
        <v>0</v>
      </c>
      <c r="E94" s="365">
        <f>IF(Inputs!B106=0,0,Inputs!D106*Inputs!$E$112)</f>
        <v>0</v>
      </c>
      <c r="F94" s="56"/>
      <c r="G94" s="445">
        <f t="shared" si="7"/>
        <v>0</v>
      </c>
      <c r="J94" s="154"/>
    </row>
    <row r="95" spans="2:10">
      <c r="B95" s="283" t="str">
        <f>IF(Inputs!B108="","",Inputs!B108)</f>
        <v/>
      </c>
      <c r="C95" s="250"/>
      <c r="D95" s="365">
        <f>IF(Inputs!F107=0,0,(Inputs!D107-Inputs!E107)/Inputs!F107)</f>
        <v>0</v>
      </c>
      <c r="E95" s="365">
        <f>IF(Inputs!B107=0,0,Inputs!D107*Inputs!$E$112)</f>
        <v>0</v>
      </c>
      <c r="F95" s="56"/>
      <c r="G95" s="445">
        <f t="shared" si="7"/>
        <v>0</v>
      </c>
    </row>
    <row r="96" spans="2:10">
      <c r="B96" s="79" t="s">
        <v>112</v>
      </c>
      <c r="C96" s="31"/>
      <c r="D96" s="83"/>
      <c r="E96" s="83"/>
      <c r="F96" s="49"/>
      <c r="G96" s="445"/>
    </row>
    <row r="97" spans="2:7">
      <c r="B97" s="48" t="s">
        <v>39</v>
      </c>
      <c r="C97" s="31" t="s">
        <v>120</v>
      </c>
      <c r="D97" s="84"/>
      <c r="E97" s="84"/>
      <c r="F97" s="49"/>
      <c r="G97" s="445">
        <f>Inputs!E116*Inputs!E112</f>
        <v>0</v>
      </c>
    </row>
    <row r="98" spans="2:7" ht="13.5" thickBot="1">
      <c r="B98" s="48" t="s">
        <v>100</v>
      </c>
      <c r="C98" s="31" t="s">
        <v>119</v>
      </c>
      <c r="D98" s="84"/>
      <c r="E98" s="84"/>
      <c r="F98" s="49"/>
      <c r="G98" s="457">
        <f>'Breeding Herd'!H84</f>
        <v>13843.8</v>
      </c>
    </row>
    <row r="99" spans="2:7" ht="17.25" thickTop="1" thickBot="1">
      <c r="B99" s="66"/>
      <c r="C99" s="67"/>
      <c r="D99" s="67"/>
      <c r="E99" s="67"/>
      <c r="F99" s="21" t="s">
        <v>105</v>
      </c>
      <c r="G99" s="651">
        <f>SUM(G87:G98)</f>
        <v>31500.942857142854</v>
      </c>
    </row>
    <row r="100" spans="2:7" ht="13.5" thickBot="1">
      <c r="B100" s="377"/>
      <c r="C100" s="377"/>
      <c r="D100" s="377"/>
      <c r="E100" s="377"/>
      <c r="F100" s="377"/>
      <c r="G100" s="533"/>
    </row>
    <row r="101" spans="2:7" ht="15.75">
      <c r="B101" s="142" t="s">
        <v>107</v>
      </c>
      <c r="C101" s="139"/>
      <c r="D101" s="143"/>
      <c r="E101" s="143"/>
      <c r="F101" s="143"/>
      <c r="G101" s="657" t="s">
        <v>73</v>
      </c>
    </row>
    <row r="102" spans="2:7" ht="16.5" thickBot="1">
      <c r="B102" s="148"/>
      <c r="C102" s="136"/>
      <c r="D102" s="136"/>
      <c r="E102" s="136"/>
      <c r="F102" s="137" t="s">
        <v>70</v>
      </c>
      <c r="G102" s="658">
        <f>G81+G99</f>
        <v>315852.59540562576</v>
      </c>
    </row>
    <row r="103" spans="2:7" ht="13.5" thickBot="1">
      <c r="B103" s="377"/>
      <c r="C103" s="377"/>
      <c r="D103" s="377"/>
      <c r="E103" s="377"/>
      <c r="F103" s="377"/>
      <c r="G103" s="533"/>
    </row>
    <row r="104" spans="2:7" ht="16.5" thickBot="1">
      <c r="B104" s="41"/>
      <c r="C104" s="149"/>
      <c r="D104" s="67"/>
      <c r="E104" s="67"/>
      <c r="F104" s="21" t="s">
        <v>106</v>
      </c>
      <c r="G104" s="651">
        <f>G17-G102</f>
        <v>-1564.3154056257335</v>
      </c>
    </row>
  </sheetData>
  <mergeCells count="2">
    <mergeCell ref="C25:C26"/>
    <mergeCell ref="C55:F55"/>
  </mergeCells>
  <printOptions horizontalCentered="1"/>
  <pageMargins left="1" right="1" top="0.75" bottom="0.75" header="0.3" footer="0.3"/>
  <pageSetup scale="10" fitToHeight="2"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pageSetUpPr fitToPage="1"/>
  </sheetPr>
  <dimension ref="B1:AE126"/>
  <sheetViews>
    <sheetView zoomScale="120" zoomScaleNormal="120" workbookViewId="0">
      <selection activeCell="N1" sqref="N1:Z1048576"/>
    </sheetView>
  </sheetViews>
  <sheetFormatPr defaultColWidth="9.140625" defaultRowHeight="12.75"/>
  <cols>
    <col min="1" max="1" width="12.28515625" style="166" customWidth="1"/>
    <col min="2" max="2" width="5.140625" style="166" customWidth="1"/>
    <col min="3" max="3" width="25" style="166" customWidth="1"/>
    <col min="4" max="4" width="12.7109375" style="166" customWidth="1"/>
    <col min="5" max="5" width="13.28515625" style="166" customWidth="1"/>
    <col min="6" max="6" width="11.140625" style="166" customWidth="1"/>
    <col min="7" max="7" width="12.7109375" style="166" customWidth="1"/>
    <col min="8" max="8" width="12.42578125" style="166" customWidth="1"/>
    <col min="9" max="9" width="11" style="166" customWidth="1"/>
    <col min="10" max="10" width="10.140625" style="167" customWidth="1"/>
    <col min="11" max="12" width="10" style="167" customWidth="1"/>
    <col min="13" max="13" width="12.28515625" style="167" customWidth="1"/>
    <col min="14" max="14" width="19.7109375" style="312" hidden="1" customWidth="1"/>
    <col min="15" max="15" width="10.28515625" style="312" hidden="1" customWidth="1"/>
    <col min="16" max="16" width="8.85546875" style="312" hidden="1" customWidth="1"/>
    <col min="17" max="17" width="10.5703125" style="312" hidden="1" customWidth="1"/>
    <col min="18" max="18" width="12" style="312" hidden="1" customWidth="1"/>
    <col min="19" max="19" width="9.28515625" style="312" hidden="1" customWidth="1"/>
    <col min="20" max="20" width="12.5703125" style="312" hidden="1" customWidth="1"/>
    <col min="21" max="23" width="9.140625" style="312" hidden="1" customWidth="1"/>
    <col min="24" max="24" width="10.7109375" style="312" hidden="1" customWidth="1"/>
    <col min="25" max="25" width="9.140625" style="167" hidden="1" customWidth="1"/>
    <col min="26" max="26" width="9.28515625" style="167" hidden="1" customWidth="1"/>
    <col min="27" max="27" width="9.140625" style="167" customWidth="1"/>
    <col min="28" max="31" width="9.140625" style="167"/>
    <col min="32" max="16384" width="9.140625" style="166"/>
  </cols>
  <sheetData>
    <row r="1" spans="2:26" ht="30.75" thickBot="1">
      <c r="B1" s="106" t="s">
        <v>57</v>
      </c>
      <c r="C1" s="106"/>
      <c r="D1" s="5"/>
      <c r="E1" s="5"/>
      <c r="F1" s="5"/>
      <c r="G1" s="5" t="s">
        <v>278</v>
      </c>
      <c r="H1" s="5"/>
      <c r="I1" s="5"/>
      <c r="J1" s="324"/>
      <c r="K1" s="324"/>
      <c r="L1" s="324"/>
      <c r="M1" s="324"/>
      <c r="O1" s="659"/>
      <c r="P1" s="659"/>
      <c r="Q1" s="659"/>
      <c r="R1" s="659"/>
      <c r="S1" s="659"/>
      <c r="T1" s="659"/>
      <c r="U1" s="659"/>
      <c r="V1" s="659"/>
      <c r="W1" s="659"/>
      <c r="X1" s="659"/>
      <c r="Y1" s="660"/>
      <c r="Z1" s="660"/>
    </row>
    <row r="2" spans="2:26" ht="18.75" thickBot="1">
      <c r="B2" s="4" t="s">
        <v>71</v>
      </c>
      <c r="C2" s="287"/>
      <c r="D2" s="178"/>
      <c r="E2" s="178"/>
      <c r="F2" s="178"/>
      <c r="G2" s="178"/>
      <c r="H2" s="229"/>
      <c r="I2" s="200"/>
      <c r="J2" s="324"/>
      <c r="K2" s="324"/>
      <c r="L2" s="324"/>
      <c r="M2" s="324"/>
      <c r="O2" s="659"/>
      <c r="P2" s="659"/>
      <c r="Q2" s="659"/>
      <c r="R2" s="659"/>
      <c r="S2" s="659"/>
      <c r="T2" s="659"/>
      <c r="U2" s="659"/>
      <c r="V2" s="659"/>
      <c r="W2" s="659"/>
      <c r="X2" s="659"/>
      <c r="Y2" s="660"/>
      <c r="Z2" s="660"/>
    </row>
    <row r="3" spans="2:26" ht="15" customHeight="1">
      <c r="B3" s="807" t="s">
        <v>156</v>
      </c>
      <c r="C3" s="304" t="s">
        <v>72</v>
      </c>
      <c r="D3" s="798" t="s">
        <v>171</v>
      </c>
      <c r="E3" s="799"/>
      <c r="F3" s="800"/>
      <c r="G3" s="768">
        <v>300</v>
      </c>
      <c r="H3" s="305" t="s">
        <v>85</v>
      </c>
      <c r="I3" s="200"/>
      <c r="J3" s="324"/>
      <c r="K3" s="324"/>
      <c r="L3" s="324"/>
      <c r="M3" s="324"/>
      <c r="O3" s="659"/>
      <c r="P3" s="659"/>
      <c r="Q3" s="659"/>
      <c r="R3" s="659"/>
      <c r="S3" s="659"/>
      <c r="T3" s="659"/>
      <c r="U3" s="659"/>
      <c r="V3" s="659"/>
      <c r="W3" s="659"/>
      <c r="X3" s="659"/>
      <c r="Y3" s="660"/>
      <c r="Z3" s="660"/>
    </row>
    <row r="4" spans="2:26">
      <c r="B4" s="793"/>
      <c r="C4" s="293" t="s">
        <v>101</v>
      </c>
      <c r="D4" s="801"/>
      <c r="E4" s="802"/>
      <c r="F4" s="803"/>
      <c r="G4" s="769">
        <v>1400</v>
      </c>
      <c r="H4" s="306" t="s">
        <v>2</v>
      </c>
      <c r="I4" s="200"/>
      <c r="J4" s="324"/>
      <c r="K4" s="324"/>
      <c r="L4" s="324"/>
      <c r="M4" s="324"/>
      <c r="O4" s="659"/>
      <c r="P4" s="659"/>
      <c r="Q4" s="659"/>
      <c r="R4" s="659"/>
      <c r="S4" s="659"/>
      <c r="T4" s="659"/>
      <c r="U4" s="659"/>
      <c r="V4" s="659"/>
      <c r="W4" s="659"/>
      <c r="X4" s="659"/>
      <c r="Y4" s="660"/>
      <c r="Z4" s="660"/>
    </row>
    <row r="5" spans="2:26" ht="12.75" customHeight="1">
      <c r="B5" s="793"/>
      <c r="C5" s="293" t="s">
        <v>86</v>
      </c>
      <c r="D5" s="801"/>
      <c r="E5" s="802"/>
      <c r="F5" s="803"/>
      <c r="G5" s="770">
        <v>29</v>
      </c>
      <c r="H5" s="306" t="s">
        <v>85</v>
      </c>
      <c r="I5" s="200"/>
      <c r="J5" s="324"/>
      <c r="K5" s="324"/>
      <c r="L5" s="324"/>
      <c r="M5" s="324"/>
      <c r="O5" s="659"/>
      <c r="P5" s="659"/>
      <c r="Q5" s="659"/>
      <c r="R5" s="659"/>
      <c r="S5" s="659"/>
      <c r="T5" s="659"/>
      <c r="U5" s="659"/>
      <c r="V5" s="659"/>
      <c r="W5" s="659"/>
      <c r="X5" s="659"/>
      <c r="Y5" s="660"/>
      <c r="Z5" s="660"/>
    </row>
    <row r="6" spans="2:26">
      <c r="B6" s="793"/>
      <c r="C6" s="293" t="s">
        <v>87</v>
      </c>
      <c r="D6" s="804"/>
      <c r="E6" s="805"/>
      <c r="F6" s="806"/>
      <c r="G6" s="771">
        <v>6</v>
      </c>
      <c r="H6" s="376" t="s">
        <v>6</v>
      </c>
      <c r="I6" s="200"/>
      <c r="J6" s="324"/>
      <c r="K6" s="324"/>
      <c r="L6" s="324"/>
      <c r="M6" s="324"/>
      <c r="O6" s="659">
        <f>IF(H6="head",G6,IF(H6="percent",ROUND(HerdSize*G6/100,0),0))</f>
        <v>6</v>
      </c>
      <c r="P6" s="659"/>
      <c r="Q6" s="659"/>
      <c r="R6" s="659"/>
      <c r="S6" s="659"/>
      <c r="T6" s="659"/>
      <c r="U6" s="659"/>
      <c r="V6" s="659"/>
      <c r="W6" s="659"/>
      <c r="X6" s="659"/>
      <c r="Y6" s="660"/>
      <c r="Z6" s="660"/>
    </row>
    <row r="7" spans="2:26">
      <c r="B7" s="793"/>
      <c r="C7" s="293" t="s">
        <v>147</v>
      </c>
      <c r="D7" s="405"/>
      <c r="E7" s="405"/>
      <c r="F7" s="406"/>
      <c r="G7" s="772">
        <v>35</v>
      </c>
      <c r="H7" s="306"/>
      <c r="I7" s="200"/>
      <c r="J7" s="324"/>
      <c r="K7" s="324"/>
      <c r="L7" s="324"/>
      <c r="M7" s="324"/>
      <c r="O7" s="661">
        <f>(G7-G13+G9)*G25*G27/100</f>
        <v>14280</v>
      </c>
      <c r="P7" s="659" t="s">
        <v>196</v>
      </c>
      <c r="Q7" s="659"/>
      <c r="R7" s="659"/>
      <c r="S7" s="659"/>
      <c r="T7" s="659"/>
      <c r="U7" s="659"/>
      <c r="V7" s="659"/>
      <c r="W7" s="659"/>
      <c r="X7" s="659"/>
      <c r="Y7" s="660"/>
      <c r="Z7" s="660"/>
    </row>
    <row r="8" spans="2:26">
      <c r="B8" s="793"/>
      <c r="C8" s="293" t="s">
        <v>190</v>
      </c>
      <c r="D8" s="405"/>
      <c r="E8" s="405"/>
      <c r="F8" s="380"/>
      <c r="G8" s="771">
        <v>92.5</v>
      </c>
      <c r="H8" s="306" t="s">
        <v>162</v>
      </c>
      <c r="I8" s="200"/>
      <c r="J8" s="324"/>
      <c r="K8" s="324"/>
      <c r="L8" s="324"/>
      <c r="M8" s="324"/>
      <c r="O8" s="659">
        <f>ROUND(HerdSize*G8/100,0)</f>
        <v>278</v>
      </c>
      <c r="P8" s="659" t="s">
        <v>192</v>
      </c>
      <c r="Q8" s="659">
        <f>ROUND(O8/2,0)</f>
        <v>139</v>
      </c>
      <c r="R8" s="659" t="s">
        <v>247</v>
      </c>
      <c r="S8" s="659"/>
      <c r="T8" s="659"/>
      <c r="U8" s="659"/>
      <c r="V8" s="659"/>
      <c r="W8" s="659"/>
      <c r="X8" s="659"/>
      <c r="Y8" s="660"/>
      <c r="Z8" s="660"/>
    </row>
    <row r="9" spans="2:26" ht="13.5" customHeight="1">
      <c r="B9" s="793"/>
      <c r="C9" s="293" t="s">
        <v>146</v>
      </c>
      <c r="D9" s="405"/>
      <c r="E9" s="405"/>
      <c r="F9" s="379"/>
      <c r="G9" s="771">
        <v>0</v>
      </c>
      <c r="H9" s="306" t="s">
        <v>6</v>
      </c>
      <c r="I9" s="200"/>
      <c r="J9" s="324"/>
      <c r="K9" s="324"/>
      <c r="L9" s="324"/>
      <c r="M9" s="324"/>
      <c r="O9" s="662">
        <f>Q8-G7+G13</f>
        <v>122</v>
      </c>
      <c r="P9" s="659" t="s">
        <v>193</v>
      </c>
      <c r="Q9" s="659"/>
      <c r="R9" s="659"/>
      <c r="S9" s="659"/>
      <c r="T9" s="659"/>
      <c r="U9" s="659"/>
      <c r="V9" s="659"/>
      <c r="W9" s="659"/>
      <c r="X9" s="659"/>
      <c r="Y9" s="660"/>
      <c r="Z9" s="660"/>
    </row>
    <row r="10" spans="2:26">
      <c r="B10" s="793"/>
      <c r="C10" s="293" t="s">
        <v>216</v>
      </c>
      <c r="D10" s="405"/>
      <c r="E10" s="405"/>
      <c r="F10" s="406"/>
      <c r="G10" s="771"/>
      <c r="H10" s="306" t="s">
        <v>0</v>
      </c>
      <c r="I10" s="200"/>
      <c r="J10" s="324"/>
      <c r="K10" s="324"/>
      <c r="L10" s="324"/>
      <c r="M10" s="324"/>
      <c r="O10" s="661">
        <f>G9*G10*G11/100</f>
        <v>0</v>
      </c>
      <c r="P10" s="659" t="s">
        <v>197</v>
      </c>
      <c r="Q10" s="659"/>
      <c r="R10" s="659"/>
      <c r="S10" s="659"/>
      <c r="T10" s="659"/>
      <c r="U10" s="659"/>
      <c r="V10" s="659"/>
      <c r="W10" s="659"/>
      <c r="X10" s="659"/>
      <c r="Y10" s="660"/>
      <c r="Z10" s="660"/>
    </row>
    <row r="11" spans="2:26">
      <c r="B11" s="793"/>
      <c r="C11" s="293" t="s">
        <v>217</v>
      </c>
      <c r="D11" s="405"/>
      <c r="E11" s="405"/>
      <c r="F11" s="406"/>
      <c r="G11" s="771"/>
      <c r="H11" s="306" t="s">
        <v>1</v>
      </c>
      <c r="I11" s="200"/>
      <c r="J11" s="324"/>
      <c r="K11" s="324"/>
      <c r="L11" s="324"/>
      <c r="M11" s="324"/>
      <c r="O11" s="659"/>
      <c r="P11" s="659"/>
      <c r="Q11" s="659"/>
      <c r="R11" s="659" t="s">
        <v>2</v>
      </c>
      <c r="S11" s="659"/>
      <c r="T11" s="659"/>
      <c r="U11" s="659"/>
      <c r="V11" s="659"/>
      <c r="W11" s="659"/>
      <c r="X11" s="659"/>
      <c r="Y11" s="660"/>
      <c r="Z11" s="660"/>
    </row>
    <row r="12" spans="2:26">
      <c r="B12" s="793"/>
      <c r="C12" s="293" t="s">
        <v>218</v>
      </c>
      <c r="D12" s="405"/>
      <c r="E12" s="405"/>
      <c r="F12" s="406"/>
      <c r="G12" s="771"/>
      <c r="H12" s="376" t="s">
        <v>2</v>
      </c>
      <c r="I12" s="200"/>
      <c r="J12" s="324"/>
      <c r="K12" s="324"/>
      <c r="L12" s="324"/>
      <c r="M12" s="324"/>
      <c r="O12" s="659"/>
      <c r="P12" s="659"/>
      <c r="Q12" s="659"/>
      <c r="R12" s="659" t="s">
        <v>187</v>
      </c>
      <c r="S12" s="659"/>
      <c r="T12" s="659"/>
      <c r="U12" s="659"/>
      <c r="V12" s="659"/>
      <c r="W12" s="659"/>
      <c r="X12" s="659"/>
      <c r="Y12" s="660"/>
      <c r="Z12" s="660"/>
    </row>
    <row r="13" spans="2:26" ht="14.25" customHeight="1">
      <c r="B13" s="793"/>
      <c r="C13" s="294" t="s">
        <v>154</v>
      </c>
      <c r="D13" s="339"/>
      <c r="E13" s="339"/>
      <c r="F13" s="230" t="str">
        <f>CONCATENATE("(&lt;=",G7,")")</f>
        <v>(&lt;=35)</v>
      </c>
      <c r="G13" s="773">
        <v>18</v>
      </c>
      <c r="H13" s="306" t="s">
        <v>6</v>
      </c>
      <c r="I13" s="200"/>
      <c r="J13" s="324"/>
      <c r="K13" s="324"/>
      <c r="L13" s="324"/>
      <c r="M13" s="324"/>
      <c r="O13" s="659">
        <f>G13*G14</f>
        <v>36000</v>
      </c>
      <c r="P13" s="659" t="s">
        <v>198</v>
      </c>
      <c r="Q13" s="659"/>
      <c r="R13" s="659"/>
      <c r="S13" s="659"/>
      <c r="T13" s="659"/>
      <c r="U13" s="659"/>
      <c r="V13" s="659"/>
      <c r="W13" s="659"/>
      <c r="X13" s="659"/>
      <c r="Y13" s="660"/>
      <c r="Z13" s="660"/>
    </row>
    <row r="14" spans="2:26" ht="14.25" customHeight="1">
      <c r="B14" s="793"/>
      <c r="C14" s="294" t="s">
        <v>155</v>
      </c>
      <c r="D14" s="340"/>
      <c r="E14" s="340"/>
      <c r="F14" s="341"/>
      <c r="G14" s="773">
        <v>2000</v>
      </c>
      <c r="H14" s="306" t="s">
        <v>2</v>
      </c>
      <c r="I14" s="200"/>
      <c r="J14" s="324"/>
      <c r="K14" s="324"/>
      <c r="L14" s="324"/>
      <c r="M14" s="324"/>
      <c r="O14" s="659"/>
      <c r="P14" s="659"/>
      <c r="Q14" s="659"/>
      <c r="R14" s="659"/>
      <c r="S14" s="659"/>
      <c r="T14" s="659"/>
      <c r="U14" s="659"/>
      <c r="V14" s="659"/>
      <c r="W14" s="659"/>
      <c r="X14" s="659"/>
      <c r="Y14" s="660"/>
      <c r="Z14" s="660"/>
    </row>
    <row r="15" spans="2:26">
      <c r="B15" s="793"/>
      <c r="C15" s="295" t="s">
        <v>225</v>
      </c>
      <c r="D15" s="200"/>
      <c r="E15" s="200"/>
      <c r="F15" s="132"/>
      <c r="G15" s="770">
        <v>1300</v>
      </c>
      <c r="H15" s="306" t="s">
        <v>0</v>
      </c>
      <c r="I15" s="200"/>
      <c r="J15" s="324"/>
      <c r="K15" s="324"/>
      <c r="L15" s="324"/>
      <c r="M15" s="324"/>
      <c r="O15" s="661">
        <f>G5*G15*G16/100</f>
        <v>24128</v>
      </c>
      <c r="P15" s="659" t="s">
        <v>195</v>
      </c>
      <c r="Q15" s="659"/>
      <c r="R15" s="659"/>
      <c r="S15" s="659"/>
      <c r="T15" s="659"/>
      <c r="U15" s="659"/>
      <c r="V15" s="659"/>
      <c r="W15" s="659"/>
      <c r="X15" s="659"/>
      <c r="Y15" s="660"/>
      <c r="Z15" s="660"/>
    </row>
    <row r="16" spans="2:26">
      <c r="B16" s="808"/>
      <c r="C16" s="296" t="s">
        <v>226</v>
      </c>
      <c r="D16" s="297"/>
      <c r="E16" s="297"/>
      <c r="F16" s="298"/>
      <c r="G16" s="770">
        <v>64</v>
      </c>
      <c r="H16" s="307" t="s">
        <v>1</v>
      </c>
      <c r="I16" s="5"/>
      <c r="J16" s="324"/>
      <c r="K16" s="324"/>
      <c r="L16" s="324"/>
      <c r="M16" s="324"/>
      <c r="O16" s="659"/>
      <c r="P16" s="659"/>
      <c r="Q16" s="659"/>
      <c r="R16" s="659"/>
      <c r="S16" s="659"/>
      <c r="T16" s="659"/>
      <c r="U16" s="659"/>
      <c r="V16" s="659"/>
      <c r="W16" s="659"/>
      <c r="X16" s="659"/>
      <c r="Y16" s="660"/>
      <c r="Z16" s="660"/>
    </row>
    <row r="17" spans="2:26" ht="12.75" customHeight="1">
      <c r="B17" s="792" t="s">
        <v>75</v>
      </c>
      <c r="C17" s="292" t="s">
        <v>76</v>
      </c>
      <c r="D17" s="299"/>
      <c r="E17" s="300"/>
      <c r="F17" s="301"/>
      <c r="G17" s="770">
        <v>12</v>
      </c>
      <c r="H17" s="308" t="s">
        <v>77</v>
      </c>
      <c r="I17" s="5"/>
      <c r="J17" s="324"/>
      <c r="K17" s="324"/>
      <c r="L17" s="324"/>
      <c r="M17" s="324"/>
      <c r="O17" s="659"/>
      <c r="P17" s="659"/>
      <c r="Q17" s="659"/>
      <c r="R17" s="659"/>
      <c r="S17" s="659"/>
      <c r="T17" s="659"/>
      <c r="U17" s="659"/>
      <c r="V17" s="659"/>
      <c r="W17" s="659"/>
      <c r="X17" s="659"/>
      <c r="Y17" s="660"/>
      <c r="Z17" s="660"/>
    </row>
    <row r="18" spans="2:26">
      <c r="B18" s="793"/>
      <c r="C18" s="295" t="s">
        <v>78</v>
      </c>
      <c r="D18" s="200"/>
      <c r="E18" s="200"/>
      <c r="F18" s="132"/>
      <c r="G18" s="770">
        <v>3000</v>
      </c>
      <c r="H18" s="306" t="s">
        <v>2</v>
      </c>
      <c r="I18" s="200"/>
      <c r="J18" s="324"/>
      <c r="K18" s="324"/>
      <c r="L18" s="324"/>
      <c r="M18" s="324"/>
      <c r="O18" s="661">
        <f>IF(G19=0,0,G17/G19*G18)</f>
        <v>7200</v>
      </c>
      <c r="P18" s="659" t="s">
        <v>172</v>
      </c>
      <c r="Q18" s="659"/>
      <c r="R18" s="659"/>
      <c r="S18" s="659"/>
      <c r="T18" s="659"/>
      <c r="U18" s="659"/>
      <c r="V18" s="659"/>
      <c r="W18" s="659"/>
      <c r="X18" s="659"/>
      <c r="Y18" s="660"/>
      <c r="Z18" s="660"/>
    </row>
    <row r="19" spans="2:26">
      <c r="B19" s="793"/>
      <c r="C19" s="293" t="s">
        <v>79</v>
      </c>
      <c r="D19" s="349"/>
      <c r="E19" s="200"/>
      <c r="F19" s="230" t="s">
        <v>213</v>
      </c>
      <c r="G19" s="677">
        <v>5</v>
      </c>
      <c r="H19" s="306" t="s">
        <v>3</v>
      </c>
      <c r="I19" s="200"/>
      <c r="J19" s="324"/>
      <c r="K19" s="324"/>
      <c r="L19" s="324"/>
      <c r="M19" s="324"/>
      <c r="O19" s="659"/>
      <c r="P19" s="659"/>
      <c r="Q19" s="659"/>
      <c r="R19" s="659"/>
      <c r="S19" s="659"/>
      <c r="T19" s="659"/>
      <c r="U19" s="659"/>
      <c r="V19" s="659"/>
      <c r="W19" s="659"/>
      <c r="X19" s="659"/>
      <c r="Y19" s="660"/>
      <c r="Z19" s="660"/>
    </row>
    <row r="20" spans="2:26">
      <c r="B20" s="793"/>
      <c r="C20" s="293" t="s">
        <v>80</v>
      </c>
      <c r="D20" s="349"/>
      <c r="E20" s="200"/>
      <c r="F20" s="132"/>
      <c r="G20" s="676">
        <v>0.01</v>
      </c>
      <c r="H20" s="306"/>
      <c r="I20" s="200"/>
      <c r="J20" s="324"/>
      <c r="K20" s="324"/>
      <c r="L20" s="324"/>
      <c r="M20" s="324"/>
      <c r="O20" s="659"/>
      <c r="P20" s="659"/>
      <c r="Q20" s="659"/>
      <c r="R20" s="659"/>
      <c r="S20" s="659"/>
      <c r="T20" s="659"/>
      <c r="U20" s="659"/>
      <c r="V20" s="659"/>
      <c r="W20" s="659"/>
      <c r="X20" s="659"/>
      <c r="Y20" s="660"/>
      <c r="Z20" s="660"/>
    </row>
    <row r="21" spans="2:26">
      <c r="B21" s="793"/>
      <c r="C21" s="293" t="s">
        <v>135</v>
      </c>
      <c r="D21" s="349"/>
      <c r="E21" s="200"/>
      <c r="F21" s="132"/>
      <c r="G21" s="677">
        <v>85</v>
      </c>
      <c r="H21" s="306" t="s">
        <v>1</v>
      </c>
      <c r="I21" s="200"/>
      <c r="J21" s="324"/>
      <c r="K21" s="324"/>
      <c r="L21" s="324"/>
      <c r="M21" s="324"/>
      <c r="O21" s="661">
        <f>IF(G19=0,0,G17/G19*(1-G20)*G21*G22/100)</f>
        <v>3635.2799999999993</v>
      </c>
      <c r="P21" s="659" t="s">
        <v>199</v>
      </c>
      <c r="Q21" s="659"/>
      <c r="R21" s="659"/>
      <c r="S21" s="659"/>
      <c r="T21" s="659"/>
      <c r="U21" s="659"/>
      <c r="V21" s="659"/>
      <c r="W21" s="659"/>
      <c r="X21" s="659"/>
      <c r="Y21" s="660"/>
      <c r="Z21" s="660"/>
    </row>
    <row r="22" spans="2:26">
      <c r="B22" s="808"/>
      <c r="C22" s="302" t="s">
        <v>136</v>
      </c>
      <c r="D22" s="303"/>
      <c r="E22" s="297"/>
      <c r="F22" s="298"/>
      <c r="G22" s="770">
        <v>1800</v>
      </c>
      <c r="H22" s="307" t="s">
        <v>0</v>
      </c>
      <c r="I22" s="200"/>
      <c r="J22" s="324"/>
      <c r="K22" s="324"/>
      <c r="L22" s="324"/>
      <c r="M22" s="324"/>
      <c r="O22" s="659"/>
      <c r="P22" s="659"/>
      <c r="Q22" s="659"/>
      <c r="R22" s="659"/>
      <c r="S22" s="659"/>
      <c r="T22" s="659"/>
      <c r="U22" s="659"/>
      <c r="V22" s="659"/>
      <c r="W22" s="659"/>
      <c r="X22" s="659"/>
      <c r="Y22" s="660"/>
      <c r="Z22" s="660"/>
    </row>
    <row r="23" spans="2:26" ht="12.75" customHeight="1">
      <c r="B23" s="792" t="s">
        <v>157</v>
      </c>
      <c r="C23" s="349" t="s">
        <v>94</v>
      </c>
      <c r="D23" s="349"/>
      <c r="E23" s="200"/>
      <c r="F23" s="230" t="str">
        <f>CONCATENATE("(&lt;=",Q8*2,")")</f>
        <v>(&lt;=278)</v>
      </c>
      <c r="G23" s="677">
        <v>279</v>
      </c>
      <c r="H23" s="9" t="s">
        <v>24</v>
      </c>
      <c r="I23" s="200"/>
      <c r="J23" s="324"/>
      <c r="K23" s="324"/>
      <c r="L23" s="324"/>
      <c r="M23" s="324"/>
      <c r="O23" s="661">
        <f>IF(G19=0,0,(G24*G26+G25*G27)/200*G23-G17/G19*G18+G17/G19*(1-G20)*G21*G22)</f>
        <v>617890.5</v>
      </c>
      <c r="P23" s="659" t="s">
        <v>194</v>
      </c>
      <c r="Q23" s="659"/>
      <c r="R23" s="659"/>
      <c r="S23" s="659"/>
      <c r="T23" s="659"/>
      <c r="U23" s="659"/>
      <c r="V23" s="659"/>
      <c r="W23" s="659"/>
      <c r="X23" s="659"/>
      <c r="Y23" s="660"/>
      <c r="Z23" s="660"/>
    </row>
    <row r="24" spans="2:26">
      <c r="B24" s="809"/>
      <c r="C24" s="349" t="s">
        <v>129</v>
      </c>
      <c r="D24" s="349"/>
      <c r="E24" s="200"/>
      <c r="F24" s="132"/>
      <c r="G24" s="677">
        <v>575</v>
      </c>
      <c r="H24" s="9"/>
      <c r="I24" s="200"/>
      <c r="J24" s="324"/>
      <c r="K24" s="324"/>
      <c r="L24" s="324"/>
      <c r="M24" s="324"/>
      <c r="O24" s="662"/>
      <c r="P24" s="659"/>
      <c r="Q24" s="659"/>
      <c r="R24" s="659"/>
      <c r="S24" s="659"/>
      <c r="T24" s="659"/>
      <c r="U24" s="659"/>
      <c r="V24" s="659"/>
      <c r="W24" s="659"/>
      <c r="X24" s="659"/>
      <c r="Y24" s="660"/>
      <c r="Z24" s="660"/>
    </row>
    <row r="25" spans="2:26">
      <c r="B25" s="809"/>
      <c r="C25" s="349" t="s">
        <v>130</v>
      </c>
      <c r="D25" s="349"/>
      <c r="E25" s="200"/>
      <c r="F25" s="132"/>
      <c r="G25" s="677">
        <v>525</v>
      </c>
      <c r="H25" s="9" t="s">
        <v>0</v>
      </c>
      <c r="I25" s="5"/>
      <c r="J25" s="324"/>
      <c r="K25" s="324"/>
      <c r="L25" s="324"/>
      <c r="M25" s="324"/>
      <c r="O25" s="662"/>
      <c r="P25" s="659"/>
      <c r="Q25" s="659"/>
      <c r="R25" s="659"/>
      <c r="S25" s="659"/>
      <c r="T25" s="659"/>
      <c r="U25" s="659"/>
      <c r="V25" s="659"/>
      <c r="W25" s="659"/>
      <c r="X25" s="659"/>
      <c r="Y25" s="660"/>
      <c r="Z25" s="660"/>
    </row>
    <row r="26" spans="2:26">
      <c r="B26" s="809"/>
      <c r="C26" s="349" t="s">
        <v>127</v>
      </c>
      <c r="D26" s="349"/>
      <c r="E26" s="200"/>
      <c r="F26" s="230" t="s">
        <v>214</v>
      </c>
      <c r="G26" s="678">
        <v>180</v>
      </c>
      <c r="H26" s="9" t="s">
        <v>1</v>
      </c>
      <c r="I26" s="5"/>
      <c r="J26" s="324"/>
      <c r="K26" s="324"/>
      <c r="L26" s="324"/>
      <c r="M26" s="324"/>
      <c r="O26" s="659"/>
      <c r="P26" s="659"/>
      <c r="Q26" s="659"/>
      <c r="R26" s="659"/>
      <c r="S26" s="659"/>
      <c r="T26" s="659"/>
      <c r="U26" s="659"/>
      <c r="V26" s="659"/>
      <c r="W26" s="659"/>
      <c r="X26" s="659"/>
      <c r="Y26" s="660"/>
      <c r="Z26" s="660"/>
    </row>
    <row r="27" spans="2:26" ht="13.5" thickBot="1">
      <c r="B27" s="810"/>
      <c r="C27" s="351" t="s">
        <v>128</v>
      </c>
      <c r="D27" s="351"/>
      <c r="E27" s="202"/>
      <c r="F27" s="383" t="s">
        <v>214</v>
      </c>
      <c r="G27" s="679">
        <v>160</v>
      </c>
      <c r="H27" s="10" t="s">
        <v>1</v>
      </c>
      <c r="I27" s="5"/>
      <c r="J27" s="324"/>
      <c r="K27" s="324"/>
      <c r="L27" s="324"/>
      <c r="M27" s="324"/>
      <c r="O27" s="661">
        <f>O23+O21-O18+O15-O13-O7+O10</f>
        <v>588173.78</v>
      </c>
      <c r="P27" s="659" t="s">
        <v>200</v>
      </c>
      <c r="Q27" s="659"/>
      <c r="R27" s="659"/>
      <c r="S27" s="659"/>
      <c r="T27" s="659"/>
      <c r="U27" s="659"/>
      <c r="V27" s="659"/>
      <c r="W27" s="659"/>
      <c r="X27" s="659"/>
      <c r="Y27" s="660"/>
      <c r="Z27" s="660"/>
    </row>
    <row r="28" spans="2:26" ht="13.5" thickBot="1">
      <c r="B28" s="5"/>
      <c r="C28" s="5"/>
      <c r="D28" s="5"/>
      <c r="E28" s="5"/>
      <c r="F28" s="5"/>
      <c r="G28" s="5"/>
      <c r="H28" s="5"/>
      <c r="I28" s="5"/>
      <c r="J28" s="324"/>
      <c r="K28" s="324"/>
      <c r="L28" s="324"/>
      <c r="M28" s="324"/>
      <c r="O28" s="659"/>
      <c r="P28" s="659"/>
      <c r="Q28" s="659"/>
      <c r="R28" s="659"/>
      <c r="S28" s="659"/>
      <c r="T28" s="659"/>
      <c r="U28" s="659"/>
      <c r="V28" s="659"/>
      <c r="W28" s="659"/>
      <c r="X28" s="659"/>
      <c r="Y28" s="660"/>
      <c r="Z28" s="660"/>
    </row>
    <row r="29" spans="2:26" ht="18.75" thickBot="1">
      <c r="B29" s="4" t="s">
        <v>273</v>
      </c>
      <c r="C29" s="4"/>
      <c r="D29" s="4"/>
      <c r="E29" s="4"/>
      <c r="F29" s="4"/>
      <c r="G29" s="4"/>
      <c r="H29" s="311"/>
      <c r="I29" s="200"/>
      <c r="J29" s="323"/>
      <c r="K29" s="324"/>
      <c r="L29" s="324"/>
      <c r="M29" s="324"/>
      <c r="O29" s="659"/>
      <c r="P29" s="659"/>
      <c r="Q29" s="659"/>
      <c r="R29" s="659"/>
      <c r="S29" s="659"/>
      <c r="T29" s="659"/>
      <c r="U29" s="659"/>
      <c r="V29" s="659"/>
      <c r="W29" s="659"/>
      <c r="X29" s="659"/>
      <c r="Y29" s="660"/>
      <c r="Z29" s="660"/>
    </row>
    <row r="30" spans="2:26">
      <c r="B30" s="343"/>
      <c r="C30" s="201" t="s">
        <v>126</v>
      </c>
      <c r="D30" s="201"/>
      <c r="E30" s="201"/>
      <c r="F30" s="201"/>
      <c r="G30" s="774">
        <v>60</v>
      </c>
      <c r="H30" s="182" t="s">
        <v>52</v>
      </c>
      <c r="I30" s="200"/>
      <c r="J30" s="323"/>
      <c r="K30" s="324"/>
      <c r="L30" s="324"/>
      <c r="M30" s="324"/>
      <c r="O30" s="663"/>
      <c r="P30" s="659"/>
      <c r="Q30" s="659"/>
      <c r="R30" s="659" t="s">
        <v>6</v>
      </c>
      <c r="S30" s="659"/>
      <c r="T30" s="659"/>
      <c r="U30" s="659"/>
      <c r="V30" s="659"/>
      <c r="W30" s="659"/>
      <c r="X30" s="659"/>
      <c r="Y30" s="660"/>
      <c r="Z30" s="660"/>
    </row>
    <row r="31" spans="2:26">
      <c r="B31" s="344"/>
      <c r="C31" s="296" t="s">
        <v>161</v>
      </c>
      <c r="D31" s="297"/>
      <c r="E31" s="297"/>
      <c r="F31" s="385" t="s">
        <v>215</v>
      </c>
      <c r="G31" s="775">
        <v>0</v>
      </c>
      <c r="H31" s="376" t="s">
        <v>162</v>
      </c>
      <c r="I31" s="200"/>
      <c r="J31" s="323"/>
      <c r="K31" s="324"/>
      <c r="L31" s="324"/>
      <c r="M31" s="324"/>
      <c r="O31" s="663"/>
      <c r="P31" s="659"/>
      <c r="Q31" s="659"/>
      <c r="R31" s="659" t="s">
        <v>162</v>
      </c>
      <c r="S31" s="659"/>
      <c r="T31" s="659"/>
      <c r="U31" s="659"/>
      <c r="V31" s="659"/>
      <c r="W31" s="659"/>
      <c r="X31" s="659"/>
      <c r="Y31" s="660"/>
      <c r="Z31" s="660"/>
    </row>
    <row r="32" spans="2:26" ht="12.75" customHeight="1">
      <c r="B32" s="795" t="s">
        <v>158</v>
      </c>
      <c r="C32" s="349" t="s">
        <v>159</v>
      </c>
      <c r="D32" s="5"/>
      <c r="E32" s="381"/>
      <c r="F32" s="407" t="str">
        <f>CONCATENATE("(&lt;=",Q8,")")</f>
        <v>(&lt;=139)</v>
      </c>
      <c r="G32" s="776">
        <v>140</v>
      </c>
      <c r="H32" s="9" t="s">
        <v>6</v>
      </c>
      <c r="I32" s="6"/>
      <c r="J32" s="325"/>
      <c r="K32" s="324"/>
      <c r="L32" s="324"/>
      <c r="M32" s="324"/>
      <c r="O32" s="659">
        <f>IF($H$31="head",ROUND($G$31/2,0),IF($H$31="percent",ROUND(G32*$G$31/100,0),""))</f>
        <v>0</v>
      </c>
      <c r="P32" s="659" t="s">
        <v>202</v>
      </c>
      <c r="Q32" s="659"/>
      <c r="R32" s="659"/>
      <c r="S32" s="659"/>
      <c r="T32" s="659"/>
      <c r="U32" s="659"/>
      <c r="V32" s="659"/>
      <c r="W32" s="659"/>
      <c r="X32" s="659"/>
      <c r="Y32" s="660"/>
      <c r="Z32" s="660"/>
    </row>
    <row r="33" spans="2:26">
      <c r="B33" s="796"/>
      <c r="C33" s="349" t="s">
        <v>160</v>
      </c>
      <c r="D33" s="200"/>
      <c r="E33" s="309"/>
      <c r="F33" s="310"/>
      <c r="G33" s="776">
        <v>700</v>
      </c>
      <c r="H33" s="9" t="s">
        <v>0</v>
      </c>
      <c r="I33" s="349"/>
      <c r="J33" s="325"/>
      <c r="K33" s="324"/>
      <c r="L33" s="324"/>
      <c r="M33" s="324"/>
      <c r="O33" s="663">
        <f>IF(H31="head",G32-G31,IF(H31="percent",ROUND(G32*(1-G31/100),0),""))</f>
        <v>140</v>
      </c>
      <c r="P33" s="663" t="s">
        <v>204</v>
      </c>
      <c r="Q33" s="659"/>
      <c r="R33" s="659"/>
      <c r="S33" s="659"/>
      <c r="T33" s="659"/>
      <c r="U33" s="659"/>
      <c r="V33" s="659"/>
      <c r="W33" s="659"/>
      <c r="X33" s="659"/>
      <c r="Y33" s="660"/>
      <c r="Z33" s="660"/>
    </row>
    <row r="34" spans="2:26">
      <c r="B34" s="797"/>
      <c r="C34" s="302" t="s">
        <v>163</v>
      </c>
      <c r="D34" s="297"/>
      <c r="E34" s="315"/>
      <c r="F34" s="384" t="s">
        <v>214</v>
      </c>
      <c r="G34" s="776">
        <v>165</v>
      </c>
      <c r="H34" s="314" t="s">
        <v>170</v>
      </c>
      <c r="I34" s="349"/>
      <c r="J34" s="325"/>
      <c r="K34" s="324"/>
      <c r="L34" s="324"/>
      <c r="M34" s="324"/>
      <c r="O34" s="659"/>
      <c r="P34" s="659"/>
      <c r="Q34" s="659"/>
      <c r="R34" s="659"/>
      <c r="S34" s="659"/>
      <c r="T34" s="659"/>
      <c r="U34" s="659"/>
      <c r="V34" s="659"/>
      <c r="W34" s="659"/>
      <c r="X34" s="659"/>
      <c r="Y34" s="660"/>
      <c r="Z34" s="660"/>
    </row>
    <row r="35" spans="2:26" ht="12.75" customHeight="1">
      <c r="B35" s="792" t="s">
        <v>164</v>
      </c>
      <c r="C35" s="349" t="s">
        <v>159</v>
      </c>
      <c r="D35" s="5"/>
      <c r="E35" s="381"/>
      <c r="F35" s="407" t="str">
        <f>CONCATENATE("(&lt;=",Q8-(G7+G9-G13),")")</f>
        <v>(&lt;=122)</v>
      </c>
      <c r="G35" s="776">
        <v>115</v>
      </c>
      <c r="H35" s="181" t="s">
        <v>6</v>
      </c>
      <c r="I35" s="6"/>
      <c r="J35" s="325"/>
      <c r="K35" s="324"/>
      <c r="L35" s="324"/>
      <c r="M35" s="324"/>
      <c r="O35" s="659">
        <f>IF($H$31="head",$G$31-O32,IF($H$31="percent",ROUND(G35*$G$31/100,0),""))</f>
        <v>0</v>
      </c>
      <c r="P35" s="659" t="s">
        <v>203</v>
      </c>
      <c r="Q35" s="659"/>
      <c r="R35" s="659"/>
      <c r="S35" s="659"/>
      <c r="T35" s="659"/>
      <c r="U35" s="659"/>
      <c r="V35" s="659"/>
      <c r="W35" s="659"/>
      <c r="X35" s="659"/>
      <c r="Y35" s="660"/>
      <c r="Z35" s="660"/>
    </row>
    <row r="36" spans="2:26">
      <c r="B36" s="793"/>
      <c r="C36" s="349" t="s">
        <v>160</v>
      </c>
      <c r="D36" s="200"/>
      <c r="E36" s="309"/>
      <c r="F36" s="310"/>
      <c r="G36" s="680">
        <v>650</v>
      </c>
      <c r="H36" s="9" t="s">
        <v>0</v>
      </c>
      <c r="I36" s="349"/>
      <c r="J36" s="325"/>
      <c r="K36" s="324"/>
      <c r="L36" s="324"/>
      <c r="M36" s="324"/>
      <c r="O36" s="662">
        <f>G35-O35</f>
        <v>115</v>
      </c>
      <c r="P36" s="663" t="s">
        <v>205</v>
      </c>
      <c r="Q36" s="659"/>
      <c r="R36" s="659"/>
      <c r="S36" s="659"/>
      <c r="T36" s="659"/>
      <c r="U36" s="659"/>
      <c r="V36" s="659"/>
      <c r="W36" s="659"/>
      <c r="X36" s="659"/>
      <c r="Y36" s="660"/>
      <c r="Z36" s="660"/>
    </row>
    <row r="37" spans="2:26" ht="13.5" thickBot="1">
      <c r="B37" s="794"/>
      <c r="C37" s="351" t="s">
        <v>163</v>
      </c>
      <c r="D37" s="202"/>
      <c r="E37" s="313"/>
      <c r="F37" s="383" t="s">
        <v>214</v>
      </c>
      <c r="G37" s="681">
        <v>158</v>
      </c>
      <c r="H37" s="10" t="s">
        <v>170</v>
      </c>
      <c r="I37" s="349"/>
      <c r="J37" s="325"/>
      <c r="K37" s="324"/>
      <c r="L37" s="324"/>
      <c r="M37" s="324"/>
      <c r="O37" s="661">
        <f>(G32-O32)*G33*G34/100-G32*G24*G26/100+(G35-O35)*G36*G37/100-G35*G25*G27/100</f>
        <v>38305</v>
      </c>
      <c r="P37" s="659" t="s">
        <v>233</v>
      </c>
      <c r="Q37" s="659"/>
      <c r="R37" s="659"/>
      <c r="S37" s="659"/>
      <c r="T37" s="659"/>
      <c r="U37" s="659"/>
      <c r="V37" s="659"/>
      <c r="W37" s="659"/>
      <c r="X37" s="659"/>
      <c r="Y37" s="660"/>
      <c r="Z37" s="660"/>
    </row>
    <row r="38" spans="2:26" ht="13.5" thickBot="1">
      <c r="B38" s="5"/>
      <c r="C38" s="5"/>
      <c r="D38" s="5"/>
      <c r="E38" s="5"/>
      <c r="F38" s="5"/>
      <c r="G38" s="5"/>
      <c r="H38" s="5"/>
      <c r="I38" s="5"/>
      <c r="J38" s="323"/>
      <c r="K38" s="324"/>
      <c r="L38" s="324"/>
      <c r="M38" s="324"/>
      <c r="O38" s="659"/>
      <c r="P38" s="659"/>
      <c r="Q38" s="659"/>
      <c r="R38" s="659"/>
      <c r="S38" s="659"/>
      <c r="T38" s="659"/>
      <c r="U38" s="659"/>
      <c r="V38" s="659"/>
      <c r="W38" s="659"/>
      <c r="X38" s="659"/>
      <c r="Y38" s="660"/>
      <c r="Z38" s="660"/>
    </row>
    <row r="39" spans="2:26" ht="18.75" thickBot="1">
      <c r="B39" s="4" t="s">
        <v>174</v>
      </c>
      <c r="C39" s="4"/>
      <c r="D39" s="4"/>
      <c r="E39" s="4"/>
      <c r="F39" s="4"/>
      <c r="G39" s="4"/>
      <c r="H39" s="311"/>
      <c r="I39" s="5"/>
      <c r="J39" s="323"/>
      <c r="K39" s="324"/>
      <c r="L39" s="324"/>
      <c r="M39" s="324"/>
      <c r="O39" s="659"/>
      <c r="P39" s="659"/>
      <c r="Q39" s="659"/>
      <c r="R39" s="659"/>
      <c r="S39" s="659"/>
      <c r="T39" s="659"/>
      <c r="U39" s="659"/>
      <c r="V39" s="659"/>
      <c r="W39" s="659"/>
      <c r="X39" s="659"/>
      <c r="Y39" s="660"/>
      <c r="Z39" s="660"/>
    </row>
    <row r="40" spans="2:26">
      <c r="B40" s="343"/>
      <c r="C40" s="201" t="s">
        <v>126</v>
      </c>
      <c r="D40" s="201"/>
      <c r="E40" s="201"/>
      <c r="F40" s="201"/>
      <c r="G40" s="682"/>
      <c r="H40" s="182" t="s">
        <v>52</v>
      </c>
      <c r="I40" s="5"/>
      <c r="J40" s="323"/>
      <c r="K40" s="324"/>
      <c r="L40" s="324"/>
      <c r="M40" s="324"/>
      <c r="O40" s="659"/>
      <c r="P40" s="659"/>
      <c r="Q40" s="659"/>
      <c r="R40" s="659"/>
      <c r="S40" s="659"/>
      <c r="T40" s="659"/>
      <c r="U40" s="659"/>
      <c r="V40" s="659"/>
      <c r="W40" s="659"/>
      <c r="X40" s="659"/>
      <c r="Y40" s="660"/>
      <c r="Z40" s="660"/>
    </row>
    <row r="41" spans="2:26">
      <c r="B41" s="344"/>
      <c r="C41" s="296" t="s">
        <v>161</v>
      </c>
      <c r="D41" s="297"/>
      <c r="E41" s="297"/>
      <c r="F41" s="385" t="s">
        <v>215</v>
      </c>
      <c r="G41" s="683"/>
      <c r="H41" s="376" t="s">
        <v>162</v>
      </c>
      <c r="I41" s="5"/>
      <c r="J41" s="323"/>
      <c r="K41" s="324"/>
      <c r="L41" s="324"/>
      <c r="M41" s="324"/>
      <c r="O41" s="659"/>
      <c r="P41" s="659"/>
      <c r="Q41" s="659"/>
      <c r="R41" s="659"/>
      <c r="S41" s="659"/>
      <c r="T41" s="659"/>
      <c r="U41" s="659"/>
      <c r="V41" s="659"/>
      <c r="W41" s="659"/>
      <c r="X41" s="659"/>
      <c r="Y41" s="660"/>
      <c r="Z41" s="660"/>
    </row>
    <row r="42" spans="2:26" ht="12.75" customHeight="1">
      <c r="B42" s="795" t="s">
        <v>158</v>
      </c>
      <c r="C42" s="349" t="s">
        <v>165</v>
      </c>
      <c r="D42" s="382"/>
      <c r="E42" s="382"/>
      <c r="F42" s="408" t="str">
        <f>CONCATENATE("(&lt;=",O33,")")</f>
        <v>(&lt;=140)</v>
      </c>
      <c r="G42" s="684"/>
      <c r="H42" s="9" t="s">
        <v>6</v>
      </c>
      <c r="I42" s="5"/>
      <c r="J42" s="323"/>
      <c r="K42" s="324"/>
      <c r="L42" s="324"/>
      <c r="M42" s="324"/>
      <c r="O42" s="659">
        <f>IF(H41="head",ROUND(G41/2,0),IF(H41="percent",ROUND(G42*G41/100,0)))</f>
        <v>0</v>
      </c>
      <c r="P42" s="659" t="s">
        <v>206</v>
      </c>
      <c r="Q42" s="659"/>
      <c r="R42" s="659"/>
      <c r="S42" s="659"/>
      <c r="T42" s="659"/>
      <c r="U42" s="659"/>
      <c r="V42" s="659"/>
      <c r="W42" s="659"/>
      <c r="X42" s="659"/>
      <c r="Y42" s="660"/>
      <c r="Z42" s="660"/>
    </row>
    <row r="43" spans="2:26">
      <c r="B43" s="796"/>
      <c r="C43" s="349" t="s">
        <v>160</v>
      </c>
      <c r="D43" s="200"/>
      <c r="E43" s="309"/>
      <c r="F43" s="310"/>
      <c r="G43" s="684"/>
      <c r="H43" s="9" t="s">
        <v>0</v>
      </c>
      <c r="I43" s="5"/>
      <c r="J43" s="323"/>
      <c r="K43" s="324"/>
      <c r="L43" s="324"/>
      <c r="M43" s="324"/>
      <c r="O43" s="662">
        <f>G42-O42</f>
        <v>0</v>
      </c>
      <c r="P43" s="659" t="s">
        <v>201</v>
      </c>
      <c r="Q43" s="659"/>
      <c r="R43" s="659"/>
      <c r="S43" s="659"/>
      <c r="T43" s="659"/>
      <c r="U43" s="659"/>
      <c r="V43" s="659"/>
      <c r="W43" s="659"/>
      <c r="X43" s="659"/>
      <c r="Y43" s="660"/>
      <c r="Z43" s="660"/>
    </row>
    <row r="44" spans="2:26">
      <c r="B44" s="797"/>
      <c r="C44" s="302" t="s">
        <v>163</v>
      </c>
      <c r="D44" s="297"/>
      <c r="E44" s="315"/>
      <c r="F44" s="384" t="s">
        <v>214</v>
      </c>
      <c r="G44" s="684"/>
      <c r="H44" s="314" t="s">
        <v>170</v>
      </c>
      <c r="I44" s="5"/>
      <c r="J44" s="323"/>
      <c r="K44" s="324"/>
      <c r="L44" s="324"/>
      <c r="M44" s="324"/>
      <c r="O44" s="659"/>
      <c r="P44" s="659"/>
      <c r="Q44" s="659"/>
      <c r="R44" s="659"/>
      <c r="S44" s="659"/>
      <c r="T44" s="659"/>
      <c r="U44" s="659"/>
      <c r="V44" s="659"/>
      <c r="W44" s="659"/>
      <c r="X44" s="659"/>
      <c r="Y44" s="660"/>
      <c r="Z44" s="660"/>
    </row>
    <row r="45" spans="2:26" ht="12.75" customHeight="1">
      <c r="B45" s="792" t="s">
        <v>164</v>
      </c>
      <c r="C45" s="349" t="s">
        <v>165</v>
      </c>
      <c r="D45" s="811" t="str">
        <f>CONCATENATE("(&lt;=",O36,")")</f>
        <v>(&lt;=115)</v>
      </c>
      <c r="E45" s="811"/>
      <c r="F45" s="812"/>
      <c r="G45" s="684"/>
      <c r="H45" s="181" t="s">
        <v>6</v>
      </c>
      <c r="I45" s="5"/>
      <c r="J45" s="323"/>
      <c r="K45" s="324"/>
      <c r="L45" s="324"/>
      <c r="M45" s="324"/>
      <c r="O45" s="659">
        <f>IF($H$41="head",$G$41-O42,IF($H$41="percent",ROUND(G45*$G$41/100,0),""))</f>
        <v>0</v>
      </c>
      <c r="P45" s="659" t="s">
        <v>207</v>
      </c>
      <c r="Q45" s="659"/>
      <c r="R45" s="659"/>
      <c r="S45" s="659"/>
      <c r="T45" s="659"/>
      <c r="U45" s="659"/>
      <c r="V45" s="659"/>
      <c r="W45" s="659"/>
      <c r="X45" s="659"/>
      <c r="Y45" s="660"/>
      <c r="Z45" s="660"/>
    </row>
    <row r="46" spans="2:26">
      <c r="B46" s="793"/>
      <c r="C46" s="349" t="s">
        <v>160</v>
      </c>
      <c r="D46" s="200"/>
      <c r="E46" s="309"/>
      <c r="F46" s="310"/>
      <c r="G46" s="684"/>
      <c r="H46" s="9" t="s">
        <v>0</v>
      </c>
      <c r="I46" s="5"/>
      <c r="J46" s="323"/>
      <c r="K46" s="324"/>
      <c r="L46" s="324"/>
      <c r="M46" s="324"/>
      <c r="O46" s="662">
        <f>G45-O45</f>
        <v>0</v>
      </c>
      <c r="P46" s="659" t="s">
        <v>208</v>
      </c>
      <c r="Q46" s="659"/>
      <c r="R46" s="659"/>
      <c r="S46" s="659"/>
      <c r="T46" s="659"/>
      <c r="U46" s="659"/>
      <c r="V46" s="659"/>
      <c r="W46" s="659"/>
      <c r="X46" s="659"/>
      <c r="Y46" s="660"/>
      <c r="Z46" s="660"/>
    </row>
    <row r="47" spans="2:26" ht="13.5" thickBot="1">
      <c r="B47" s="794"/>
      <c r="C47" s="351" t="s">
        <v>163</v>
      </c>
      <c r="D47" s="202"/>
      <c r="E47" s="313"/>
      <c r="F47" s="383" t="s">
        <v>214</v>
      </c>
      <c r="G47" s="685"/>
      <c r="H47" s="342" t="s">
        <v>170</v>
      </c>
      <c r="I47" s="5"/>
      <c r="J47" s="323"/>
      <c r="K47" s="324"/>
      <c r="L47" s="324"/>
      <c r="M47" s="324"/>
      <c r="O47" s="661">
        <f>(G42-O42)*G43*G44/100-G42*G33*G34/100+(G45-O45)*G46*G47/100-G45*G36*G37/100</f>
        <v>0</v>
      </c>
      <c r="P47" s="659" t="s">
        <v>232</v>
      </c>
      <c r="Q47" s="659"/>
      <c r="R47" s="659"/>
      <c r="S47" s="659"/>
      <c r="T47" s="659"/>
      <c r="U47" s="659"/>
      <c r="V47" s="659"/>
      <c r="W47" s="659"/>
      <c r="X47" s="659"/>
      <c r="Y47" s="660"/>
      <c r="Z47" s="660"/>
    </row>
    <row r="48" spans="2:26" ht="13.5" thickBot="1">
      <c r="B48" s="5"/>
      <c r="C48" s="5"/>
      <c r="D48" s="5"/>
      <c r="E48" s="5"/>
      <c r="F48" s="5"/>
      <c r="G48" s="5"/>
      <c r="H48" s="5"/>
      <c r="I48" s="5"/>
      <c r="J48" s="323"/>
      <c r="K48" s="324"/>
      <c r="L48" s="324"/>
      <c r="M48" s="324"/>
      <c r="O48" s="659"/>
      <c r="P48" s="659"/>
      <c r="Q48" s="659"/>
      <c r="R48" s="659"/>
      <c r="S48" s="659"/>
      <c r="T48" s="659"/>
      <c r="U48" s="659"/>
      <c r="V48" s="659"/>
      <c r="W48" s="659"/>
      <c r="X48" s="659"/>
      <c r="Y48" s="660"/>
      <c r="Z48" s="660"/>
    </row>
    <row r="49" spans="2:26" ht="18.75" thickBot="1">
      <c r="B49" s="4" t="s">
        <v>189</v>
      </c>
      <c r="C49" s="4"/>
      <c r="D49" s="4"/>
      <c r="E49" s="4"/>
      <c r="F49" s="4"/>
      <c r="G49" s="4"/>
      <c r="H49" s="311"/>
      <c r="I49" s="5"/>
      <c r="J49" s="323"/>
      <c r="K49" s="324"/>
      <c r="L49" s="324"/>
      <c r="M49" s="324"/>
      <c r="O49" s="659"/>
      <c r="P49" s="659"/>
      <c r="Q49" s="659"/>
      <c r="R49" s="659"/>
      <c r="S49" s="659"/>
      <c r="T49" s="659"/>
      <c r="U49" s="659"/>
      <c r="V49" s="659"/>
      <c r="W49" s="659"/>
      <c r="X49" s="659"/>
      <c r="Y49" s="660"/>
      <c r="Z49" s="660"/>
    </row>
    <row r="50" spans="2:26">
      <c r="B50" s="343"/>
      <c r="C50" s="201" t="s">
        <v>126</v>
      </c>
      <c r="D50" s="201"/>
      <c r="E50" s="201"/>
      <c r="F50" s="201"/>
      <c r="G50" s="686"/>
      <c r="H50" s="182" t="s">
        <v>52</v>
      </c>
      <c r="I50" s="5"/>
      <c r="J50" s="323"/>
      <c r="K50" s="324"/>
      <c r="L50" s="324"/>
      <c r="M50" s="324"/>
      <c r="O50" s="659"/>
      <c r="P50" s="659"/>
      <c r="Q50" s="659"/>
      <c r="R50" s="659"/>
      <c r="S50" s="659"/>
      <c r="T50" s="659"/>
      <c r="U50" s="659"/>
      <c r="V50" s="659"/>
      <c r="W50" s="659"/>
      <c r="X50" s="659"/>
      <c r="Y50" s="660"/>
      <c r="Z50" s="660"/>
    </row>
    <row r="51" spans="2:26">
      <c r="B51" s="344"/>
      <c r="C51" s="296" t="s">
        <v>161</v>
      </c>
      <c r="D51" s="297"/>
      <c r="E51" s="297"/>
      <c r="F51" s="385" t="s">
        <v>215</v>
      </c>
      <c r="G51" s="687"/>
      <c r="H51" s="376" t="s">
        <v>162</v>
      </c>
      <c r="I51" s="5"/>
      <c r="J51" s="323"/>
      <c r="K51" s="324"/>
      <c r="L51" s="324"/>
      <c r="M51" s="324"/>
      <c r="O51" s="659"/>
      <c r="P51" s="659"/>
      <c r="Q51" s="659"/>
      <c r="R51" s="659"/>
      <c r="S51" s="659"/>
      <c r="T51" s="659"/>
      <c r="U51" s="659"/>
      <c r="V51" s="659"/>
      <c r="W51" s="659"/>
      <c r="X51" s="659"/>
      <c r="Y51" s="660"/>
      <c r="Z51" s="660"/>
    </row>
    <row r="52" spans="2:26" ht="12.75" customHeight="1">
      <c r="B52" s="795" t="s">
        <v>158</v>
      </c>
      <c r="C52" s="349" t="s">
        <v>166</v>
      </c>
      <c r="D52" s="382"/>
      <c r="E52" s="382"/>
      <c r="F52" s="408" t="str">
        <f>CONCATENATE("(&lt;=",O43,")")</f>
        <v>(&lt;=0)</v>
      </c>
      <c r="G52" s="688"/>
      <c r="H52" s="9" t="s">
        <v>6</v>
      </c>
      <c r="I52" s="5"/>
      <c r="J52" s="323"/>
      <c r="K52" s="324"/>
      <c r="L52" s="324"/>
      <c r="M52" s="324"/>
      <c r="O52" s="659">
        <f>IF(H51="head",ROUND(G51/2,0),IF(H51="percent",ROUND(G52*G51/100,0)))</f>
        <v>0</v>
      </c>
      <c r="P52" s="659" t="s">
        <v>209</v>
      </c>
      <c r="Q52" s="659"/>
      <c r="R52" s="659"/>
      <c r="S52" s="659"/>
      <c r="T52" s="659"/>
      <c r="U52" s="659"/>
      <c r="V52" s="659"/>
      <c r="W52" s="659"/>
      <c r="X52" s="659"/>
      <c r="Y52" s="660"/>
      <c r="Z52" s="660"/>
    </row>
    <row r="53" spans="2:26">
      <c r="B53" s="796"/>
      <c r="C53" s="349" t="s">
        <v>160</v>
      </c>
      <c r="D53" s="200"/>
      <c r="E53" s="309"/>
      <c r="F53" s="310"/>
      <c r="G53" s="688"/>
      <c r="H53" s="9" t="s">
        <v>0</v>
      </c>
      <c r="I53" s="5"/>
      <c r="J53" s="323"/>
      <c r="K53" s="324"/>
      <c r="L53" s="324"/>
      <c r="M53" s="324"/>
      <c r="O53" s="662">
        <f>G52-O52</f>
        <v>0</v>
      </c>
      <c r="P53" s="659" t="s">
        <v>212</v>
      </c>
      <c r="Q53" s="659"/>
      <c r="R53" s="659"/>
      <c r="S53" s="659"/>
      <c r="T53" s="659"/>
      <c r="U53" s="659"/>
      <c r="V53" s="659"/>
      <c r="W53" s="659"/>
      <c r="X53" s="659"/>
      <c r="Y53" s="660"/>
      <c r="Z53" s="660"/>
    </row>
    <row r="54" spans="2:26">
      <c r="B54" s="797"/>
      <c r="C54" s="302" t="s">
        <v>163</v>
      </c>
      <c r="D54" s="297"/>
      <c r="E54" s="315"/>
      <c r="F54" s="384" t="s">
        <v>214</v>
      </c>
      <c r="G54" s="688"/>
      <c r="H54" s="314" t="s">
        <v>170</v>
      </c>
      <c r="I54" s="5"/>
      <c r="J54" s="323"/>
      <c r="K54" s="324"/>
      <c r="L54" s="324"/>
      <c r="M54" s="324"/>
      <c r="O54" s="659"/>
      <c r="P54" s="659"/>
      <c r="Q54" s="659"/>
      <c r="R54" s="659"/>
      <c r="S54" s="659"/>
      <c r="T54" s="659"/>
      <c r="U54" s="659"/>
      <c r="V54" s="659"/>
      <c r="W54" s="659"/>
      <c r="X54" s="659"/>
      <c r="Y54" s="660"/>
      <c r="Z54" s="660"/>
    </row>
    <row r="55" spans="2:26" ht="12.75" customHeight="1">
      <c r="B55" s="792" t="s">
        <v>164</v>
      </c>
      <c r="C55" s="349" t="s">
        <v>166</v>
      </c>
      <c r="D55" s="382"/>
      <c r="E55" s="382"/>
      <c r="F55" s="408" t="str">
        <f>CONCATENATE("(&lt;=",O46,")")</f>
        <v>(&lt;=0)</v>
      </c>
      <c r="G55" s="688"/>
      <c r="H55" s="181" t="s">
        <v>6</v>
      </c>
      <c r="I55" s="5"/>
      <c r="J55" s="323"/>
      <c r="K55" s="324"/>
      <c r="L55" s="324"/>
      <c r="M55" s="324"/>
      <c r="O55" s="659">
        <f>IF($H$51="head",$G$51-O52,IF($H$51="percent",ROUND(G55*$G$51/100,0),""))</f>
        <v>0</v>
      </c>
      <c r="P55" s="659" t="s">
        <v>210</v>
      </c>
      <c r="Q55" s="659"/>
      <c r="R55" s="659"/>
      <c r="S55" s="659"/>
      <c r="T55" s="659"/>
      <c r="U55" s="659"/>
      <c r="V55" s="659"/>
      <c r="W55" s="659"/>
      <c r="X55" s="659"/>
      <c r="Y55" s="660"/>
      <c r="Z55" s="660"/>
    </row>
    <row r="56" spans="2:26">
      <c r="B56" s="793"/>
      <c r="C56" s="349" t="s">
        <v>160</v>
      </c>
      <c r="D56" s="200"/>
      <c r="E56" s="309"/>
      <c r="F56" s="310"/>
      <c r="G56" s="688"/>
      <c r="H56" s="9" t="s">
        <v>0</v>
      </c>
      <c r="I56" s="5"/>
      <c r="J56" s="323"/>
      <c r="K56" s="324"/>
      <c r="L56" s="324"/>
      <c r="M56" s="324"/>
      <c r="O56" s="662">
        <f>G55-O55</f>
        <v>0</v>
      </c>
      <c r="P56" s="659" t="s">
        <v>211</v>
      </c>
      <c r="Q56" s="659"/>
      <c r="R56" s="659"/>
      <c r="S56" s="659"/>
      <c r="T56" s="659"/>
      <c r="U56" s="659"/>
      <c r="V56" s="659"/>
      <c r="W56" s="659"/>
      <c r="X56" s="659"/>
      <c r="Y56" s="660"/>
      <c r="Z56" s="660"/>
    </row>
    <row r="57" spans="2:26" ht="13.5" thickBot="1">
      <c r="B57" s="794"/>
      <c r="C57" s="351" t="s">
        <v>163</v>
      </c>
      <c r="D57" s="202"/>
      <c r="E57" s="313"/>
      <c r="F57" s="383" t="s">
        <v>214</v>
      </c>
      <c r="G57" s="689"/>
      <c r="H57" s="342" t="s">
        <v>170</v>
      </c>
      <c r="I57" s="5"/>
      <c r="J57" s="323"/>
      <c r="K57" s="324"/>
      <c r="L57" s="324"/>
      <c r="M57" s="324"/>
      <c r="O57" s="661">
        <f>(G52-O52)*G53*G54/100-G52*G43*G44/100+(G55-O55)*G56*G57/100-G55*G46*G47/100</f>
        <v>0</v>
      </c>
      <c r="P57" s="659" t="s">
        <v>231</v>
      </c>
      <c r="Q57" s="659"/>
      <c r="R57" s="659"/>
      <c r="S57" s="659"/>
      <c r="T57" s="659"/>
      <c r="U57" s="659"/>
      <c r="V57" s="659"/>
      <c r="W57" s="659"/>
      <c r="X57" s="659"/>
      <c r="Y57" s="660"/>
      <c r="Z57" s="660"/>
    </row>
    <row r="58" spans="2:26" ht="13.5" thickBot="1">
      <c r="B58" s="5"/>
      <c r="C58" s="5"/>
      <c r="D58" s="5"/>
      <c r="E58" s="5"/>
      <c r="F58" s="5"/>
      <c r="G58" s="5"/>
      <c r="H58" s="5"/>
      <c r="I58" s="5"/>
      <c r="J58" s="323"/>
      <c r="K58" s="324"/>
      <c r="L58" s="324"/>
      <c r="M58" s="324"/>
      <c r="O58" s="659"/>
      <c r="P58" s="659"/>
      <c r="Q58" s="659"/>
      <c r="R58" s="659"/>
      <c r="S58" s="659"/>
      <c r="T58" s="659"/>
      <c r="U58" s="659"/>
      <c r="V58" s="659"/>
      <c r="W58" s="659"/>
      <c r="X58" s="659"/>
      <c r="Y58" s="660"/>
      <c r="Z58" s="660"/>
    </row>
    <row r="59" spans="2:26" ht="18.75" thickBot="1">
      <c r="B59" s="4" t="s">
        <v>236</v>
      </c>
      <c r="C59" s="4"/>
      <c r="D59" s="4"/>
      <c r="E59" s="4"/>
      <c r="F59" s="4"/>
      <c r="G59" s="4"/>
      <c r="H59" s="311"/>
      <c r="I59" s="5"/>
      <c r="J59" s="323"/>
      <c r="K59" s="324"/>
      <c r="L59" s="324"/>
      <c r="M59" s="324"/>
      <c r="O59" s="659"/>
      <c r="P59" s="659"/>
      <c r="Q59" s="659"/>
      <c r="R59" s="659"/>
      <c r="S59" s="659"/>
      <c r="T59" s="659"/>
      <c r="U59" s="659"/>
      <c r="V59" s="659"/>
      <c r="W59" s="659"/>
      <c r="X59" s="659"/>
      <c r="Y59" s="660"/>
      <c r="Z59" s="660"/>
    </row>
    <row r="60" spans="2:26">
      <c r="B60" s="343"/>
      <c r="C60" s="201" t="s">
        <v>126</v>
      </c>
      <c r="D60" s="201"/>
      <c r="E60" s="201"/>
      <c r="F60" s="201"/>
      <c r="G60" s="690"/>
      <c r="H60" s="182" t="s">
        <v>52</v>
      </c>
      <c r="I60" s="5"/>
      <c r="J60" s="323"/>
      <c r="K60" s="324"/>
      <c r="L60" s="324"/>
      <c r="M60" s="324"/>
      <c r="O60" s="659"/>
      <c r="P60" s="659"/>
      <c r="Q60" s="659"/>
      <c r="R60" s="659"/>
      <c r="S60" s="659"/>
      <c r="T60" s="659"/>
      <c r="U60" s="659"/>
      <c r="V60" s="659"/>
      <c r="W60" s="659"/>
      <c r="X60" s="659"/>
      <c r="Y60" s="660"/>
      <c r="Z60" s="660"/>
    </row>
    <row r="61" spans="2:26">
      <c r="B61" s="397"/>
      <c r="C61" s="297" t="s">
        <v>161</v>
      </c>
      <c r="D61" s="297"/>
      <c r="E61" s="297"/>
      <c r="F61" s="385" t="s">
        <v>215</v>
      </c>
      <c r="G61" s="691">
        <v>0</v>
      </c>
      <c r="H61" s="376" t="s">
        <v>162</v>
      </c>
      <c r="I61" s="5"/>
      <c r="J61" s="323"/>
      <c r="K61" s="324"/>
      <c r="L61" s="324"/>
      <c r="M61" s="324"/>
      <c r="O61" s="659"/>
      <c r="P61" s="659"/>
      <c r="Q61" s="659"/>
      <c r="R61" s="659"/>
      <c r="S61" s="659"/>
      <c r="T61" s="659"/>
      <c r="U61" s="659"/>
      <c r="V61" s="659"/>
      <c r="W61" s="659"/>
      <c r="X61" s="659"/>
      <c r="Y61" s="660"/>
      <c r="Z61" s="660"/>
    </row>
    <row r="62" spans="2:26" ht="12.75" customHeight="1">
      <c r="B62" s="397"/>
      <c r="C62" s="349" t="s">
        <v>166</v>
      </c>
      <c r="D62" s="382"/>
      <c r="E62" s="382"/>
      <c r="F62" s="408" t="str">
        <f>CONCATENATE("(&lt;=",G5,")")</f>
        <v>(&lt;=29)</v>
      </c>
      <c r="G62" s="692"/>
      <c r="H62" s="9" t="s">
        <v>6</v>
      </c>
      <c r="I62" s="5"/>
      <c r="J62" s="323"/>
      <c r="K62" s="324"/>
      <c r="L62" s="324"/>
      <c r="M62" s="324"/>
      <c r="O62" s="659">
        <f>IF(H61="head",G61,IF(H61="percent",ROUND(G62*G61/100,0)))</f>
        <v>0</v>
      </c>
      <c r="P62" s="659" t="s">
        <v>227</v>
      </c>
      <c r="Q62" s="659"/>
      <c r="R62" s="659"/>
      <c r="S62" s="659"/>
      <c r="T62" s="659"/>
      <c r="U62" s="659"/>
      <c r="V62" s="659"/>
      <c r="W62" s="659"/>
      <c r="X62" s="659"/>
      <c r="Y62" s="660"/>
      <c r="Z62" s="660"/>
    </row>
    <row r="63" spans="2:26">
      <c r="B63" s="397"/>
      <c r="C63" s="349" t="s">
        <v>160</v>
      </c>
      <c r="D63" s="200"/>
      <c r="E63" s="309"/>
      <c r="F63" s="310"/>
      <c r="G63" s="692"/>
      <c r="H63" s="9" t="s">
        <v>0</v>
      </c>
      <c r="I63" s="5"/>
      <c r="J63" s="323"/>
      <c r="K63" s="324"/>
      <c r="L63" s="324"/>
      <c r="M63" s="324"/>
      <c r="O63" s="662">
        <f>G62-O62</f>
        <v>0</v>
      </c>
      <c r="P63" s="659" t="s">
        <v>228</v>
      </c>
      <c r="Q63" s="659"/>
      <c r="R63" s="659"/>
      <c r="S63" s="659"/>
      <c r="T63" s="659"/>
      <c r="U63" s="659"/>
      <c r="V63" s="659"/>
      <c r="W63" s="659"/>
      <c r="X63" s="659"/>
      <c r="Y63" s="660"/>
      <c r="Z63" s="660"/>
    </row>
    <row r="64" spans="2:26" ht="13.5" thickBot="1">
      <c r="B64" s="398"/>
      <c r="C64" s="351" t="s">
        <v>163</v>
      </c>
      <c r="D64" s="202"/>
      <c r="E64" s="313"/>
      <c r="F64" s="383" t="s">
        <v>214</v>
      </c>
      <c r="G64" s="693"/>
      <c r="H64" s="10" t="s">
        <v>170</v>
      </c>
      <c r="I64" s="5"/>
      <c r="J64" s="323"/>
      <c r="K64" s="324"/>
      <c r="L64" s="324"/>
      <c r="M64" s="324"/>
      <c r="O64" s="661">
        <f>O63*G63*G64/100-G62*G15*G16/100</f>
        <v>0</v>
      </c>
      <c r="P64" s="659" t="s">
        <v>230</v>
      </c>
      <c r="Q64" s="659"/>
      <c r="R64" s="659"/>
      <c r="S64" s="659"/>
      <c r="T64" s="659"/>
      <c r="U64" s="659"/>
      <c r="V64" s="659"/>
      <c r="W64" s="659"/>
      <c r="X64" s="659"/>
      <c r="Y64" s="660"/>
      <c r="Z64" s="660"/>
    </row>
    <row r="65" spans="2:26" ht="13.5" thickBot="1">
      <c r="B65" s="5"/>
      <c r="C65" s="5"/>
      <c r="D65" s="5"/>
      <c r="E65" s="5"/>
      <c r="F65" s="5"/>
      <c r="G65" s="5"/>
      <c r="H65" s="5"/>
      <c r="I65" s="5"/>
      <c r="J65" s="323"/>
      <c r="K65" s="324"/>
      <c r="L65" s="324"/>
      <c r="M65" s="324"/>
      <c r="O65" s="664"/>
      <c r="P65" s="659"/>
      <c r="Q65" s="659"/>
      <c r="R65" s="659"/>
      <c r="S65" s="659"/>
      <c r="T65" s="659"/>
      <c r="U65" s="659"/>
      <c r="V65" s="659"/>
      <c r="W65" s="659"/>
      <c r="X65" s="659"/>
      <c r="Y65" s="660"/>
      <c r="Z65" s="660"/>
    </row>
    <row r="66" spans="2:26" ht="18" customHeight="1" thickBot="1">
      <c r="B66" s="4" t="s">
        <v>7</v>
      </c>
      <c r="C66" s="287"/>
      <c r="D66" s="178"/>
      <c r="E66" s="178"/>
      <c r="F66" s="178"/>
      <c r="G66" s="178"/>
      <c r="H66" s="229"/>
      <c r="I66" s="5"/>
      <c r="J66" s="326"/>
      <c r="K66" s="326"/>
      <c r="L66" s="326"/>
      <c r="M66" s="326"/>
      <c r="N66" s="378"/>
      <c r="O66" s="665"/>
      <c r="P66" s="664"/>
      <c r="Q66" s="659"/>
      <c r="R66" s="659"/>
      <c r="S66" s="659"/>
      <c r="T66" s="659"/>
      <c r="U66" s="659"/>
      <c r="V66" s="659"/>
      <c r="W66" s="659"/>
      <c r="X66" s="659"/>
      <c r="Y66" s="660"/>
      <c r="Z66" s="660"/>
    </row>
    <row r="67" spans="2:26" ht="40.5" customHeight="1" thickBot="1">
      <c r="B67" s="317" t="s">
        <v>145</v>
      </c>
      <c r="C67" s="289"/>
      <c r="D67" s="316" t="s">
        <v>8</v>
      </c>
      <c r="E67" s="11" t="s">
        <v>167</v>
      </c>
      <c r="F67" s="11" t="s">
        <v>58</v>
      </c>
      <c r="G67" s="11" t="s">
        <v>168</v>
      </c>
      <c r="H67" s="12" t="s">
        <v>27</v>
      </c>
      <c r="I67" s="101"/>
      <c r="J67" s="327"/>
      <c r="K67" s="327"/>
      <c r="L67" s="327"/>
      <c r="M67" s="327"/>
      <c r="N67" s="346"/>
      <c r="O67" s="666"/>
      <c r="P67" s="664"/>
      <c r="Q67" s="659"/>
      <c r="R67" s="659"/>
      <c r="S67" s="659"/>
      <c r="T67" s="659"/>
      <c r="U67" s="659"/>
      <c r="V67" s="659"/>
      <c r="W67" s="659"/>
      <c r="X67" s="659"/>
      <c r="Y67" s="660"/>
      <c r="Z67" s="660"/>
    </row>
    <row r="68" spans="2:26" ht="13.5" thickTop="1">
      <c r="B68" s="813" t="s">
        <v>264</v>
      </c>
      <c r="C68" s="814"/>
      <c r="D68" s="762">
        <v>300</v>
      </c>
      <c r="E68" s="700" t="s">
        <v>249</v>
      </c>
      <c r="F68" s="700" t="s">
        <v>250</v>
      </c>
      <c r="G68" s="757">
        <v>2000</v>
      </c>
      <c r="H68" s="37">
        <f t="shared" ref="H68:H76" si="0">IF(G68=0,"",D68/G68)</f>
        <v>0.15</v>
      </c>
      <c r="I68" s="5"/>
      <c r="J68" s="328"/>
      <c r="K68" s="329"/>
      <c r="L68" s="329"/>
      <c r="M68" s="329"/>
      <c r="N68" s="345"/>
      <c r="O68" s="667"/>
      <c r="P68" s="664"/>
      <c r="Q68" s="659"/>
      <c r="R68" s="659"/>
      <c r="S68" s="659"/>
      <c r="T68" s="659"/>
      <c r="U68" s="659"/>
      <c r="V68" s="659"/>
      <c r="W68" s="659"/>
      <c r="X68" s="659"/>
      <c r="Y68" s="660"/>
      <c r="Z68" s="660"/>
    </row>
    <row r="69" spans="2:26">
      <c r="B69" s="780" t="s">
        <v>270</v>
      </c>
      <c r="C69" s="781"/>
      <c r="D69" s="695">
        <v>50</v>
      </c>
      <c r="E69" s="701" t="s">
        <v>265</v>
      </c>
      <c r="F69" s="701" t="s">
        <v>257</v>
      </c>
      <c r="G69" s="757">
        <v>30</v>
      </c>
      <c r="H69" s="37">
        <f t="shared" si="0"/>
        <v>1.6666666666666667</v>
      </c>
      <c r="I69" s="5"/>
      <c r="J69" s="328"/>
      <c r="K69" s="329"/>
      <c r="L69" s="329"/>
      <c r="M69" s="329"/>
      <c r="N69" s="345"/>
      <c r="O69" s="667"/>
      <c r="P69" s="664"/>
      <c r="Q69" s="659"/>
      <c r="R69" s="659"/>
      <c r="S69" s="659"/>
      <c r="T69" s="659"/>
      <c r="U69" s="659"/>
      <c r="V69" s="659"/>
      <c r="W69" s="659"/>
      <c r="X69" s="659"/>
      <c r="Y69" s="660"/>
      <c r="Z69" s="660"/>
    </row>
    <row r="70" spans="2:26">
      <c r="B70" s="780" t="s">
        <v>248</v>
      </c>
      <c r="C70" s="781"/>
      <c r="D70" s="695">
        <v>130</v>
      </c>
      <c r="E70" s="701" t="s">
        <v>249</v>
      </c>
      <c r="F70" s="701" t="s">
        <v>250</v>
      </c>
      <c r="G70" s="698">
        <v>2000</v>
      </c>
      <c r="H70" s="37">
        <f t="shared" si="0"/>
        <v>6.5000000000000002E-2</v>
      </c>
      <c r="I70" s="5"/>
      <c r="J70" s="328"/>
      <c r="K70" s="329"/>
      <c r="L70" s="329"/>
      <c r="M70" s="329"/>
      <c r="N70" s="345"/>
      <c r="O70" s="667"/>
      <c r="P70" s="664"/>
      <c r="Q70" s="659"/>
      <c r="R70" s="659"/>
      <c r="S70" s="659"/>
      <c r="T70" s="659"/>
      <c r="U70" s="659"/>
      <c r="V70" s="659"/>
      <c r="W70" s="659"/>
      <c r="X70" s="659"/>
      <c r="Y70" s="660"/>
      <c r="Z70" s="660"/>
    </row>
    <row r="71" spans="2:26">
      <c r="B71" s="780" t="s">
        <v>251</v>
      </c>
      <c r="C71" s="781"/>
      <c r="D71" s="696">
        <v>190</v>
      </c>
      <c r="E71" s="697" t="s">
        <v>249</v>
      </c>
      <c r="F71" s="697" t="s">
        <v>250</v>
      </c>
      <c r="G71" s="699">
        <v>2000</v>
      </c>
      <c r="H71" s="37">
        <f t="shared" si="0"/>
        <v>9.5000000000000001E-2</v>
      </c>
      <c r="I71" s="5"/>
      <c r="J71" s="328"/>
      <c r="K71" s="329"/>
      <c r="L71" s="329"/>
      <c r="M71" s="329"/>
      <c r="N71" s="345"/>
      <c r="O71" s="667"/>
      <c r="P71" s="664"/>
      <c r="Q71" s="659"/>
      <c r="R71" s="659"/>
      <c r="S71" s="659"/>
      <c r="T71" s="659"/>
      <c r="U71" s="659"/>
      <c r="V71" s="659"/>
      <c r="W71" s="659"/>
      <c r="X71" s="659"/>
      <c r="Y71" s="660"/>
      <c r="Z71" s="660"/>
    </row>
    <row r="72" spans="2:26">
      <c r="B72" s="780" t="s">
        <v>252</v>
      </c>
      <c r="C72" s="781"/>
      <c r="D72" s="695">
        <v>300</v>
      </c>
      <c r="E72" s="701" t="s">
        <v>249</v>
      </c>
      <c r="F72" s="701" t="s">
        <v>250</v>
      </c>
      <c r="G72" s="698">
        <v>2000</v>
      </c>
      <c r="H72" s="37">
        <f t="shared" si="0"/>
        <v>0.15</v>
      </c>
      <c r="I72" s="5"/>
      <c r="J72" s="328"/>
      <c r="K72" s="329"/>
      <c r="L72" s="329"/>
      <c r="M72" s="329"/>
      <c r="N72" s="345"/>
      <c r="O72" s="667"/>
      <c r="P72" s="664"/>
      <c r="Q72" s="659"/>
      <c r="R72" s="659"/>
      <c r="S72" s="659"/>
      <c r="T72" s="659"/>
      <c r="U72" s="659"/>
      <c r="V72" s="659"/>
      <c r="W72" s="659"/>
      <c r="X72" s="659"/>
      <c r="Y72" s="660"/>
      <c r="Z72" s="660"/>
    </row>
    <row r="73" spans="2:26">
      <c r="B73" s="780" t="s">
        <v>253</v>
      </c>
      <c r="C73" s="781"/>
      <c r="D73" s="695">
        <v>900</v>
      </c>
      <c r="E73" s="701" t="s">
        <v>249</v>
      </c>
      <c r="F73" s="701" t="s">
        <v>262</v>
      </c>
      <c r="G73" s="698">
        <v>32000</v>
      </c>
      <c r="H73" s="37">
        <f t="shared" si="0"/>
        <v>2.8125000000000001E-2</v>
      </c>
      <c r="I73" s="5"/>
      <c r="J73" s="328"/>
      <c r="K73" s="329"/>
      <c r="L73" s="329"/>
      <c r="M73" s="329"/>
      <c r="N73" s="345"/>
      <c r="O73" s="659"/>
      <c r="P73" s="667" t="s">
        <v>30</v>
      </c>
      <c r="Q73" s="659" t="s">
        <v>173</v>
      </c>
      <c r="R73" s="462" t="s">
        <v>177</v>
      </c>
      <c r="S73" s="462" t="s">
        <v>174</v>
      </c>
      <c r="T73" s="462" t="s">
        <v>189</v>
      </c>
      <c r="U73" s="462" t="s">
        <v>229</v>
      </c>
      <c r="V73" s="659"/>
      <c r="W73" s="659"/>
      <c r="X73" s="659"/>
      <c r="Y73" s="660"/>
      <c r="Z73" s="660"/>
    </row>
    <row r="74" spans="2:26">
      <c r="B74" s="760" t="s">
        <v>254</v>
      </c>
      <c r="C74" s="761"/>
      <c r="D74" s="695">
        <v>40</v>
      </c>
      <c r="E74" s="701" t="s">
        <v>249</v>
      </c>
      <c r="F74" s="701" t="s">
        <v>250</v>
      </c>
      <c r="G74" s="698">
        <v>2000</v>
      </c>
      <c r="H74" s="37">
        <f t="shared" si="0"/>
        <v>0.02</v>
      </c>
      <c r="I74" s="5"/>
      <c r="J74" s="328"/>
      <c r="K74" s="329"/>
      <c r="L74" s="329"/>
      <c r="M74" s="329"/>
      <c r="N74" s="345"/>
      <c r="O74" s="659"/>
      <c r="P74" s="667">
        <f>SUM(Q74:U74)</f>
        <v>626478.78</v>
      </c>
      <c r="Q74" s="667">
        <f>O27</f>
        <v>588173.78</v>
      </c>
      <c r="R74" s="667">
        <f>O37</f>
        <v>38305</v>
      </c>
      <c r="S74" s="667">
        <f>O47</f>
        <v>0</v>
      </c>
      <c r="T74" s="667">
        <f>O57</f>
        <v>0</v>
      </c>
      <c r="U74" s="667">
        <f>O64</f>
        <v>0</v>
      </c>
      <c r="V74" s="659"/>
      <c r="W74" s="659"/>
      <c r="X74" s="659"/>
      <c r="Y74" s="660"/>
      <c r="Z74" s="660"/>
    </row>
    <row r="75" spans="2:26">
      <c r="B75" s="760" t="s">
        <v>255</v>
      </c>
      <c r="C75" s="761"/>
      <c r="D75" s="695">
        <v>5.4</v>
      </c>
      <c r="E75" s="701" t="s">
        <v>256</v>
      </c>
      <c r="F75" s="701" t="s">
        <v>250</v>
      </c>
      <c r="G75" s="698">
        <v>56</v>
      </c>
      <c r="H75" s="37">
        <f t="shared" si="0"/>
        <v>9.6428571428571433E-2</v>
      </c>
      <c r="I75" s="5"/>
      <c r="J75" s="328"/>
      <c r="K75" s="329"/>
      <c r="L75" s="329"/>
      <c r="M75" s="329"/>
      <c r="N75" s="345"/>
      <c r="O75" s="659"/>
      <c r="P75" s="668">
        <f>SUM(Q75:U75)</f>
        <v>1</v>
      </c>
      <c r="Q75" s="669">
        <f>IF(P74=0,0,Q74/$P$74)</f>
        <v>0.93885666805825407</v>
      </c>
      <c r="R75" s="669">
        <f>IF(Q74=0,0,R74/$P$74)</f>
        <v>6.1143331941745892E-2</v>
      </c>
      <c r="S75" s="669">
        <f>IF(R74=0,0,S74/$P$74)</f>
        <v>0</v>
      </c>
      <c r="T75" s="669">
        <f>IF(S74=0,0,T74/$P$74)</f>
        <v>0</v>
      </c>
      <c r="U75" s="669">
        <f>IF(T74=0,0,U74/$P$74)</f>
        <v>0</v>
      </c>
      <c r="V75" s="670"/>
      <c r="W75" s="659"/>
      <c r="X75" s="659"/>
      <c r="Y75" s="660"/>
      <c r="Z75" s="660"/>
    </row>
    <row r="76" spans="2:26">
      <c r="B76" s="760" t="s">
        <v>269</v>
      </c>
      <c r="C76" s="761"/>
      <c r="D76" s="695">
        <v>100</v>
      </c>
      <c r="E76" s="701" t="s">
        <v>249</v>
      </c>
      <c r="F76" s="701" t="s">
        <v>250</v>
      </c>
      <c r="G76" s="698">
        <v>2000</v>
      </c>
      <c r="H76" s="37">
        <f t="shared" si="0"/>
        <v>0.05</v>
      </c>
      <c r="I76" s="5"/>
      <c r="J76" s="328"/>
      <c r="K76" s="329"/>
      <c r="L76" s="329"/>
      <c r="M76" s="329"/>
      <c r="N76" s="345"/>
      <c r="O76" s="659"/>
      <c r="P76" s="667"/>
      <c r="Q76" s="664"/>
      <c r="R76" s="659"/>
      <c r="S76" s="659"/>
      <c r="T76" s="659"/>
      <c r="U76" s="659"/>
      <c r="V76" s="659"/>
      <c r="W76" s="659"/>
      <c r="X76" s="659"/>
      <c r="Y76" s="660"/>
      <c r="Z76" s="660"/>
    </row>
    <row r="77" spans="2:26" ht="13.5" thickBot="1">
      <c r="B77" s="782" t="s">
        <v>259</v>
      </c>
      <c r="C77" s="783"/>
      <c r="D77" s="702">
        <v>0.5</v>
      </c>
      <c r="E77" s="694" t="s">
        <v>257</v>
      </c>
      <c r="F77" s="694" t="s">
        <v>257</v>
      </c>
      <c r="G77" s="703">
        <v>1</v>
      </c>
      <c r="H77" s="318">
        <f t="shared" ref="H77" si="1">IF(G77=0,"",D77/G77)</f>
        <v>0.5</v>
      </c>
      <c r="I77" s="5"/>
      <c r="J77" s="328"/>
      <c r="K77" s="329"/>
      <c r="L77" s="329"/>
      <c r="M77" s="329"/>
      <c r="N77" s="345"/>
      <c r="O77" s="659"/>
      <c r="P77" s="667"/>
      <c r="Q77" s="659"/>
      <c r="R77" s="659"/>
      <c r="S77" s="659"/>
      <c r="T77" s="659"/>
      <c r="U77" s="659"/>
      <c r="V77" s="659"/>
      <c r="W77" s="659"/>
      <c r="X77" s="659"/>
      <c r="Y77" s="660"/>
      <c r="Z77" s="660"/>
    </row>
    <row r="78" spans="2:26" ht="13.5" thickBot="1">
      <c r="B78" s="200"/>
      <c r="C78" s="200"/>
      <c r="D78" s="200"/>
      <c r="E78" s="200"/>
      <c r="F78" s="200"/>
      <c r="G78" s="200"/>
      <c r="H78" s="200"/>
      <c r="I78" s="5"/>
      <c r="J78" s="323"/>
      <c r="K78" s="324"/>
      <c r="L78" s="324"/>
      <c r="M78" s="324"/>
      <c r="O78" s="659"/>
      <c r="P78" s="659" t="s">
        <v>60</v>
      </c>
      <c r="Q78" s="669"/>
      <c r="R78" s="669"/>
      <c r="S78" s="669"/>
      <c r="T78" s="669"/>
      <c r="U78" s="671"/>
      <c r="V78" s="659"/>
      <c r="W78" s="659"/>
      <c r="X78" s="659"/>
      <c r="Y78" s="660"/>
      <c r="Z78" s="660"/>
    </row>
    <row r="79" spans="2:26" ht="18.75" thickBot="1">
      <c r="B79" s="4" t="s">
        <v>25</v>
      </c>
      <c r="C79" s="287"/>
      <c r="D79" s="7"/>
      <c r="E79" s="19"/>
      <c r="F79" s="785" t="s">
        <v>220</v>
      </c>
      <c r="G79" s="786"/>
      <c r="H79" s="786"/>
      <c r="I79" s="786"/>
      <c r="J79" s="786"/>
      <c r="K79" s="324"/>
      <c r="L79" s="324"/>
      <c r="M79" s="324"/>
      <c r="O79" s="659"/>
      <c r="P79" s="659" t="s">
        <v>59</v>
      </c>
      <c r="Q79" s="669"/>
      <c r="R79" s="669"/>
      <c r="S79" s="669"/>
      <c r="T79" s="669"/>
      <c r="U79" s="659"/>
      <c r="V79" s="659"/>
      <c r="W79" s="659"/>
      <c r="X79" s="659"/>
      <c r="Y79" s="660"/>
      <c r="Z79" s="660"/>
    </row>
    <row r="80" spans="2:26" ht="55.5" customHeight="1" thickBot="1">
      <c r="B80" s="317" t="s">
        <v>145</v>
      </c>
      <c r="C80" s="289"/>
      <c r="D80" s="11" t="s">
        <v>26</v>
      </c>
      <c r="E80" s="11" t="s">
        <v>219</v>
      </c>
      <c r="F80" s="386" t="s">
        <v>263</v>
      </c>
      <c r="G80" s="386" t="s">
        <v>272</v>
      </c>
      <c r="H80" s="386" t="s">
        <v>222</v>
      </c>
      <c r="I80" s="386" t="s">
        <v>223</v>
      </c>
      <c r="J80" s="387" t="s">
        <v>237</v>
      </c>
      <c r="K80" s="330"/>
      <c r="L80" s="330"/>
      <c r="M80" s="324"/>
      <c r="O80" s="659"/>
      <c r="P80" s="659"/>
      <c r="Q80" s="672" t="s">
        <v>173</v>
      </c>
      <c r="R80" s="673" t="s">
        <v>177</v>
      </c>
      <c r="S80" s="673" t="s">
        <v>174</v>
      </c>
      <c r="T80" s="673" t="s">
        <v>175</v>
      </c>
      <c r="U80" s="673" t="s">
        <v>229</v>
      </c>
      <c r="V80" s="659" t="s">
        <v>30</v>
      </c>
      <c r="W80" s="673"/>
      <c r="X80" s="659"/>
      <c r="Y80" s="660"/>
      <c r="Z80" s="660"/>
    </row>
    <row r="81" spans="2:26" ht="13.5" thickTop="1">
      <c r="B81" s="787" t="s">
        <v>10</v>
      </c>
      <c r="C81" s="788"/>
      <c r="D81" s="704">
        <v>10</v>
      </c>
      <c r="E81" s="228" t="s">
        <v>60</v>
      </c>
      <c r="F81" s="758"/>
      <c r="G81" s="320"/>
      <c r="H81" s="320"/>
      <c r="I81" s="320"/>
      <c r="J81" s="463"/>
      <c r="K81" s="404" t="str">
        <f>IF(SUM(F81:J81)&gt;1,"This expense has been overallocated.","")</f>
        <v/>
      </c>
      <c r="L81" s="323"/>
      <c r="M81" s="324"/>
      <c r="O81" s="659"/>
      <c r="P81" s="674">
        <f>SUM(F81:J81)</f>
        <v>0</v>
      </c>
      <c r="Q81" s="674">
        <f>IF($D81=0,0,IF(F81="",Q$75/(IF($F81="",$Q$75,0)+IF($G81="",$R$75,0)+IF($H81="",$S$75,0)+IF($I81="",$T$75,0)+IF($J81="",$U$75,0))*(1-$P81),F81))</f>
        <v>0.93885666805825407</v>
      </c>
      <c r="R81" s="674">
        <f>IF($D81=0,0,IF(G81="",R$75/(IF($F81="",$Q$75,0)+IF($G81="",$R$75,0)+IF($H81="",$S$75,0)+IF($I81="",$T$75,0)+IF($J81="",$U$75,0))*(1-$P81),G81))</f>
        <v>6.1143331941745892E-2</v>
      </c>
      <c r="S81" s="674">
        <f>IF($D81=0,0,IF(H81="",S$75/(IF($F81="",$Q$75,0)+IF($G81="",$R$75,0)+IF($H81="",$S$75,0)+IF($I81="",$T$75,0)+IF($J81="",$U$75,0))*(1-$P81),H81))</f>
        <v>0</v>
      </c>
      <c r="T81" s="674">
        <f>IF($D81=0,0,IF(I81="",T$75/(IF($F81="",$Q$75,0)+IF($G81="",$R$75,0)+IF($H81="",$S$75,0)+IF($I81="",$T$75,0)+IF($J81="",$U$75,0))*(1-$P81),I81))</f>
        <v>0</v>
      </c>
      <c r="U81" s="674">
        <f>IF($D81=0,0,IF(J81="",U$75/(IF($F81="",$Q$75,0)+IF($G81="",$R$75,0)+IF($H81="",$S$75,0)+IF($I81="",$T$75,0)+IF($J81="",$U$75,0))*(1-$P81),J81))</f>
        <v>0</v>
      </c>
      <c r="V81" s="675">
        <f>SUM(Q81:U81)</f>
        <v>1</v>
      </c>
      <c r="W81" s="670"/>
      <c r="X81" s="670"/>
      <c r="Y81" s="660"/>
      <c r="Z81" s="660"/>
    </row>
    <row r="82" spans="2:26">
      <c r="B82" s="790" t="s">
        <v>266</v>
      </c>
      <c r="C82" s="791"/>
      <c r="D82" s="705">
        <v>15</v>
      </c>
      <c r="E82" s="227" t="s">
        <v>60</v>
      </c>
      <c r="F82" s="759"/>
      <c r="G82" s="321"/>
      <c r="H82" s="321"/>
      <c r="I82" s="321"/>
      <c r="J82" s="464"/>
      <c r="K82" s="404" t="str">
        <f t="shared" ref="K82:K95" si="2">IF(SUM(F82:J82)&gt;1,"This expense has been overallocated.","")</f>
        <v/>
      </c>
      <c r="L82" s="323"/>
      <c r="M82" s="324"/>
      <c r="O82" s="659"/>
      <c r="P82" s="674">
        <f t="shared" ref="P82:P95" si="3">SUM(F82:J82)</f>
        <v>0</v>
      </c>
      <c r="Q82" s="674">
        <f t="shared" ref="Q82:Q95" si="4">IF($D82=0,0,IF(F82="",Q$75/(IF($F82="",$Q$75,0)+IF($G82="",$R$75,0)+IF($H82="",$S$75,0)+IF($I82="",$T$75,0)+IF($J82="",$U$75,0))*(1-$P82),F82))</f>
        <v>0.93885666805825407</v>
      </c>
      <c r="R82" s="674">
        <f t="shared" ref="R82:R95" si="5">IF($D82=0,0,IF(G82="",R$75/(IF($F82="",$Q$75,0)+IF($G82="",$R$75,0)+IF($H82="",$S$75,0)+IF($I82="",$T$75,0)+IF($J82="",$U$75,0))*(1-$P82),G82))</f>
        <v>6.1143331941745892E-2</v>
      </c>
      <c r="S82" s="674">
        <f t="shared" ref="S82:S95" si="6">IF($D82=0,0,IF(H82="",S$75/(IF($F82="",$Q$75,0)+IF($G82="",$R$75,0)+IF($H82="",$S$75,0)+IF($I82="",$T$75,0)+IF($J82="",$U$75,0))*(1-$P82),H82))</f>
        <v>0</v>
      </c>
      <c r="T82" s="674">
        <f t="shared" ref="T82:T95" si="7">IF($D82=0,0,IF(I82="",T$75/(IF($F82="",$Q$75,0)+IF($G82="",$R$75,0)+IF($H82="",$S$75,0)+IF($I82="",$T$75,0)+IF($J82="",$U$75,0))*(1-$P82),I82))</f>
        <v>0</v>
      </c>
      <c r="U82" s="674">
        <f t="shared" ref="U82:U95" si="8">IF($D82=0,0,IF(J82="",U$75/(IF($F82="",$Q$75,0)+IF($G82="",$R$75,0)+IF($H82="",$S$75,0)+IF($I82="",$T$75,0)+IF($J82="",$U$75,0))*(1-$P82),J82))</f>
        <v>0</v>
      </c>
      <c r="V82" s="675">
        <f t="shared" ref="V82:V95" si="9">SUM(Q82:U82)</f>
        <v>1</v>
      </c>
      <c r="W82" s="659"/>
      <c r="X82" s="789" t="s">
        <v>242</v>
      </c>
      <c r="Y82" s="789" t="s">
        <v>240</v>
      </c>
      <c r="Z82" s="789" t="s">
        <v>241</v>
      </c>
    </row>
    <row r="83" spans="2:26">
      <c r="B83" s="790" t="s">
        <v>11</v>
      </c>
      <c r="C83" s="791"/>
      <c r="D83" s="705">
        <v>30</v>
      </c>
      <c r="E83" s="227" t="s">
        <v>60</v>
      </c>
      <c r="F83" s="759"/>
      <c r="G83" s="321"/>
      <c r="H83" s="321"/>
      <c r="I83" s="321"/>
      <c r="J83" s="464"/>
      <c r="K83" s="404" t="str">
        <f t="shared" si="2"/>
        <v/>
      </c>
      <c r="L83" s="323"/>
      <c r="M83" s="324"/>
      <c r="O83" s="659"/>
      <c r="P83" s="674">
        <f t="shared" si="3"/>
        <v>0</v>
      </c>
      <c r="Q83" s="674">
        <f t="shared" si="4"/>
        <v>0.93885666805825407</v>
      </c>
      <c r="R83" s="674">
        <f t="shared" si="5"/>
        <v>6.1143331941745892E-2</v>
      </c>
      <c r="S83" s="674">
        <f t="shared" si="6"/>
        <v>0</v>
      </c>
      <c r="T83" s="674">
        <f t="shared" si="7"/>
        <v>0</v>
      </c>
      <c r="U83" s="674">
        <f t="shared" si="8"/>
        <v>0</v>
      </c>
      <c r="V83" s="675">
        <f t="shared" si="9"/>
        <v>1</v>
      </c>
      <c r="W83" s="659"/>
      <c r="X83" s="789"/>
      <c r="Y83" s="789"/>
      <c r="Z83" s="789"/>
    </row>
    <row r="84" spans="2:26">
      <c r="B84" s="778" t="s">
        <v>88</v>
      </c>
      <c r="C84" s="779"/>
      <c r="D84" s="765">
        <v>30</v>
      </c>
      <c r="E84" s="724" t="s">
        <v>60</v>
      </c>
      <c r="F84" s="766"/>
      <c r="G84" s="766"/>
      <c r="H84" s="766"/>
      <c r="I84" s="766"/>
      <c r="J84" s="767"/>
      <c r="K84" s="404"/>
      <c r="L84" s="323"/>
      <c r="M84" s="324"/>
      <c r="O84" s="659"/>
      <c r="P84" s="674">
        <f t="shared" si="3"/>
        <v>0</v>
      </c>
      <c r="Q84" s="674">
        <f t="shared" si="4"/>
        <v>0.93885666805825407</v>
      </c>
      <c r="R84" s="674">
        <f t="shared" si="5"/>
        <v>6.1143331941745892E-2</v>
      </c>
      <c r="S84" s="674">
        <f t="shared" si="6"/>
        <v>0</v>
      </c>
      <c r="T84" s="674">
        <f t="shared" si="7"/>
        <v>0</v>
      </c>
      <c r="U84" s="674">
        <f t="shared" si="8"/>
        <v>0</v>
      </c>
      <c r="V84" s="675">
        <f t="shared" si="9"/>
        <v>1</v>
      </c>
      <c r="W84" s="659"/>
      <c r="X84" s="462">
        <f>IF(E84="per animal",D84,D84/G5)</f>
        <v>30</v>
      </c>
      <c r="Y84" s="777">
        <f>G5-G62+O63-O62</f>
        <v>29</v>
      </c>
      <c r="Z84" s="462">
        <f>X84*Y84</f>
        <v>870</v>
      </c>
    </row>
    <row r="85" spans="2:26">
      <c r="B85" s="778" t="s">
        <v>81</v>
      </c>
      <c r="C85" s="779"/>
      <c r="D85" s="765">
        <v>30</v>
      </c>
      <c r="E85" s="724" t="s">
        <v>60</v>
      </c>
      <c r="F85" s="766"/>
      <c r="G85" s="766"/>
      <c r="H85" s="766"/>
      <c r="I85" s="766"/>
      <c r="J85" s="767"/>
      <c r="K85" s="404"/>
      <c r="L85" s="323"/>
      <c r="M85" s="324"/>
      <c r="O85" s="659"/>
      <c r="P85" s="674">
        <f t="shared" si="3"/>
        <v>0</v>
      </c>
      <c r="Q85" s="674">
        <f t="shared" si="4"/>
        <v>0.93885666805825407</v>
      </c>
      <c r="R85" s="674">
        <f t="shared" si="5"/>
        <v>6.1143331941745892E-2</v>
      </c>
      <c r="S85" s="674">
        <f t="shared" si="6"/>
        <v>0</v>
      </c>
      <c r="T85" s="674">
        <f t="shared" si="7"/>
        <v>0</v>
      </c>
      <c r="U85" s="674">
        <f t="shared" si="8"/>
        <v>0</v>
      </c>
      <c r="V85" s="675">
        <f t="shared" si="9"/>
        <v>1</v>
      </c>
      <c r="W85" s="659"/>
      <c r="X85" s="462">
        <f>IF(E85="per animal",D85,D85/(G17/G19*(1-G20)))</f>
        <v>30</v>
      </c>
      <c r="Y85" s="462">
        <f>IF(G19=0,0,G17/G19*(1-G20))</f>
        <v>2.3759999999999999</v>
      </c>
      <c r="Z85" s="462">
        <f t="shared" ref="Z85:Z91" si="10">X85*Y85</f>
        <v>71.28</v>
      </c>
    </row>
    <row r="86" spans="2:26">
      <c r="B86" s="778" t="s">
        <v>188</v>
      </c>
      <c r="C86" s="779"/>
      <c r="D86" s="765">
        <v>30</v>
      </c>
      <c r="E86" s="724" t="s">
        <v>60</v>
      </c>
      <c r="F86" s="766"/>
      <c r="G86" s="766"/>
      <c r="H86" s="766"/>
      <c r="I86" s="766"/>
      <c r="J86" s="767"/>
      <c r="K86" s="404"/>
      <c r="L86" s="323"/>
      <c r="M86" s="324"/>
      <c r="O86" s="659"/>
      <c r="P86" s="674">
        <f t="shared" si="3"/>
        <v>0</v>
      </c>
      <c r="Q86" s="674">
        <f t="shared" si="4"/>
        <v>0.93885666805825407</v>
      </c>
      <c r="R86" s="674">
        <f t="shared" si="5"/>
        <v>6.1143331941745892E-2</v>
      </c>
      <c r="S86" s="674">
        <f t="shared" si="6"/>
        <v>0</v>
      </c>
      <c r="T86" s="674">
        <f t="shared" si="7"/>
        <v>0</v>
      </c>
      <c r="U86" s="674">
        <f t="shared" si="8"/>
        <v>0</v>
      </c>
      <c r="V86" s="675">
        <f t="shared" si="9"/>
        <v>1</v>
      </c>
      <c r="W86" s="659"/>
      <c r="X86" s="462">
        <f>IF(E86="per animal",D86,D86/G9)</f>
        <v>30</v>
      </c>
      <c r="Y86" s="777">
        <f>G9</f>
        <v>0</v>
      </c>
      <c r="Z86" s="462">
        <f t="shared" si="10"/>
        <v>0</v>
      </c>
    </row>
    <row r="87" spans="2:26">
      <c r="B87" s="778" t="s">
        <v>92</v>
      </c>
      <c r="C87" s="779"/>
      <c r="D87" s="765">
        <v>20</v>
      </c>
      <c r="E87" s="724" t="s">
        <v>60</v>
      </c>
      <c r="F87" s="766"/>
      <c r="G87" s="766"/>
      <c r="H87" s="766"/>
      <c r="I87" s="766"/>
      <c r="J87" s="767"/>
      <c r="K87" s="404"/>
      <c r="L87" s="323"/>
      <c r="M87" s="324"/>
      <c r="O87" s="659"/>
      <c r="P87" s="674">
        <f t="shared" si="3"/>
        <v>0</v>
      </c>
      <c r="Q87" s="674">
        <f t="shared" si="4"/>
        <v>0.93885666805825407</v>
      </c>
      <c r="R87" s="674">
        <f t="shared" si="5"/>
        <v>6.1143331941745892E-2</v>
      </c>
      <c r="S87" s="674">
        <f t="shared" si="6"/>
        <v>0</v>
      </c>
      <c r="T87" s="674">
        <f t="shared" si="7"/>
        <v>0</v>
      </c>
      <c r="U87" s="674">
        <f t="shared" si="8"/>
        <v>0</v>
      </c>
      <c r="V87" s="675">
        <f t="shared" si="9"/>
        <v>1</v>
      </c>
      <c r="W87" s="659"/>
      <c r="X87" s="462">
        <f>IF(E87="per animal",D87,D87/(G23))</f>
        <v>20</v>
      </c>
      <c r="Y87" s="777">
        <f>Q8+O9-G32-G35-G9</f>
        <v>6</v>
      </c>
      <c r="Z87" s="462">
        <f t="shared" si="10"/>
        <v>120</v>
      </c>
    </row>
    <row r="88" spans="2:26">
      <c r="B88" s="778" t="s">
        <v>280</v>
      </c>
      <c r="C88" s="779"/>
      <c r="D88" s="765">
        <v>25</v>
      </c>
      <c r="E88" s="724" t="s">
        <v>60</v>
      </c>
      <c r="F88" s="766"/>
      <c r="G88" s="766"/>
      <c r="H88" s="766"/>
      <c r="I88" s="766"/>
      <c r="J88" s="767"/>
      <c r="K88" s="404"/>
      <c r="L88" s="323"/>
      <c r="M88" s="324"/>
      <c r="O88" s="659"/>
      <c r="P88" s="674">
        <f t="shared" si="3"/>
        <v>0</v>
      </c>
      <c r="Q88" s="674">
        <f t="shared" si="4"/>
        <v>0.93885666805825407</v>
      </c>
      <c r="R88" s="674">
        <f t="shared" si="5"/>
        <v>6.1143331941745892E-2</v>
      </c>
      <c r="S88" s="674">
        <f t="shared" si="6"/>
        <v>0</v>
      </c>
      <c r="T88" s="674">
        <f t="shared" si="7"/>
        <v>0</v>
      </c>
      <c r="U88" s="674">
        <f t="shared" si="8"/>
        <v>0</v>
      </c>
      <c r="V88" s="675">
        <f t="shared" si="9"/>
        <v>1</v>
      </c>
      <c r="W88" s="659"/>
      <c r="X88" s="462">
        <f>IF(E88="per animal",D88,D88/(O36+O33))</f>
        <v>25</v>
      </c>
      <c r="Y88" s="777">
        <f>O33+O36-G42-G45</f>
        <v>255</v>
      </c>
      <c r="Z88" s="462">
        <f t="shared" si="10"/>
        <v>6375</v>
      </c>
    </row>
    <row r="89" spans="2:26">
      <c r="B89" s="778" t="s">
        <v>246</v>
      </c>
      <c r="C89" s="779"/>
      <c r="D89" s="765">
        <v>0</v>
      </c>
      <c r="E89" s="724" t="s">
        <v>60</v>
      </c>
      <c r="F89" s="766"/>
      <c r="G89" s="766"/>
      <c r="H89" s="766"/>
      <c r="I89" s="766"/>
      <c r="J89" s="767"/>
      <c r="K89" s="404"/>
      <c r="L89" s="323"/>
      <c r="M89" s="324"/>
      <c r="O89" s="659"/>
      <c r="P89" s="674">
        <f t="shared" si="3"/>
        <v>0</v>
      </c>
      <c r="Q89" s="674">
        <f t="shared" si="4"/>
        <v>0</v>
      </c>
      <c r="R89" s="674">
        <f t="shared" si="5"/>
        <v>0</v>
      </c>
      <c r="S89" s="674">
        <f t="shared" si="6"/>
        <v>0</v>
      </c>
      <c r="T89" s="674">
        <f t="shared" si="7"/>
        <v>0</v>
      </c>
      <c r="U89" s="674">
        <f t="shared" si="8"/>
        <v>0</v>
      </c>
      <c r="V89" s="675">
        <f t="shared" si="9"/>
        <v>0</v>
      </c>
      <c r="W89" s="659"/>
      <c r="X89" s="462">
        <f>IF(E89="per animal",D89,D89/(O46+O43))</f>
        <v>0</v>
      </c>
      <c r="Y89" s="777">
        <f>O43+O46-G52-G55</f>
        <v>0</v>
      </c>
      <c r="Z89" s="462">
        <f t="shared" si="10"/>
        <v>0</v>
      </c>
    </row>
    <row r="90" spans="2:26">
      <c r="B90" s="778" t="s">
        <v>169</v>
      </c>
      <c r="C90" s="779"/>
      <c r="D90" s="765">
        <v>0</v>
      </c>
      <c r="E90" s="724" t="s">
        <v>60</v>
      </c>
      <c r="F90" s="766"/>
      <c r="G90" s="766"/>
      <c r="H90" s="766"/>
      <c r="I90" s="766"/>
      <c r="J90" s="767"/>
      <c r="K90" s="404"/>
      <c r="L90" s="323"/>
      <c r="M90" s="324"/>
      <c r="O90" s="659"/>
      <c r="P90" s="674">
        <f t="shared" si="3"/>
        <v>0</v>
      </c>
      <c r="Q90" s="674">
        <f t="shared" si="4"/>
        <v>0</v>
      </c>
      <c r="R90" s="674">
        <f t="shared" si="5"/>
        <v>0</v>
      </c>
      <c r="S90" s="674">
        <f t="shared" si="6"/>
        <v>0</v>
      </c>
      <c r="T90" s="674">
        <f t="shared" si="7"/>
        <v>0</v>
      </c>
      <c r="U90" s="674">
        <f t="shared" si="8"/>
        <v>0</v>
      </c>
      <c r="V90" s="675">
        <f t="shared" si="9"/>
        <v>0</v>
      </c>
      <c r="W90" s="659"/>
      <c r="X90" s="462">
        <f>IF(E90="per animal",D90,D90/(O56+O53))</f>
        <v>0</v>
      </c>
      <c r="Y90" s="777">
        <f>O53+O56</f>
        <v>0</v>
      </c>
      <c r="Z90" s="462">
        <f t="shared" si="10"/>
        <v>0</v>
      </c>
    </row>
    <row r="91" spans="2:26">
      <c r="B91" s="780"/>
      <c r="C91" s="781"/>
      <c r="D91" s="705"/>
      <c r="E91" s="227"/>
      <c r="F91" s="321"/>
      <c r="G91" s="321"/>
      <c r="H91" s="321"/>
      <c r="I91" s="321"/>
      <c r="J91" s="464"/>
      <c r="K91" s="404" t="str">
        <f t="shared" si="2"/>
        <v/>
      </c>
      <c r="L91" s="323"/>
      <c r="M91" s="324"/>
      <c r="O91" s="659"/>
      <c r="P91" s="674">
        <f t="shared" si="3"/>
        <v>0</v>
      </c>
      <c r="Q91" s="674">
        <f t="shared" si="4"/>
        <v>0</v>
      </c>
      <c r="R91" s="674">
        <f t="shared" si="5"/>
        <v>0</v>
      </c>
      <c r="S91" s="674">
        <f t="shared" si="6"/>
        <v>0</v>
      </c>
      <c r="T91" s="674">
        <f t="shared" si="7"/>
        <v>0</v>
      </c>
      <c r="U91" s="674">
        <f>IF($D91=0,0,IF(J91="",U$75/(IF($F91="",$Q$75,0)+IF($G91="",$R$75,0)+IF($H91="",$S$75,0)+IF($I91="",$T$75,0)+IF($J91="",$U$75,0))*(1-$P91),J91))</f>
        <v>0</v>
      </c>
      <c r="V91" s="675">
        <f t="shared" si="9"/>
        <v>0</v>
      </c>
      <c r="W91" s="659"/>
      <c r="X91" s="462"/>
      <c r="Y91" s="416"/>
      <c r="Z91" s="462">
        <f t="shared" si="10"/>
        <v>0</v>
      </c>
    </row>
    <row r="92" spans="2:26">
      <c r="B92" s="780"/>
      <c r="C92" s="781"/>
      <c r="D92" s="401"/>
      <c r="E92" s="227"/>
      <c r="F92" s="321"/>
      <c r="G92" s="321"/>
      <c r="H92" s="321"/>
      <c r="I92" s="321"/>
      <c r="J92" s="464"/>
      <c r="K92" s="404" t="str">
        <f t="shared" si="2"/>
        <v/>
      </c>
      <c r="L92" s="323"/>
      <c r="M92" s="324"/>
      <c r="O92" s="659"/>
      <c r="P92" s="674">
        <f t="shared" si="3"/>
        <v>0</v>
      </c>
      <c r="Q92" s="674">
        <f t="shared" si="4"/>
        <v>0</v>
      </c>
      <c r="R92" s="674">
        <f t="shared" si="5"/>
        <v>0</v>
      </c>
      <c r="S92" s="674">
        <f t="shared" si="6"/>
        <v>0</v>
      </c>
      <c r="T92" s="674">
        <f t="shared" si="7"/>
        <v>0</v>
      </c>
      <c r="U92" s="674">
        <f t="shared" si="8"/>
        <v>0</v>
      </c>
      <c r="V92" s="675">
        <f t="shared" si="9"/>
        <v>0</v>
      </c>
      <c r="W92" s="659"/>
      <c r="X92" s="659"/>
      <c r="Y92" s="660"/>
      <c r="Z92" s="660"/>
    </row>
    <row r="93" spans="2:26">
      <c r="B93" s="780"/>
      <c r="C93" s="781"/>
      <c r="D93" s="401"/>
      <c r="E93" s="227"/>
      <c r="F93" s="321"/>
      <c r="G93" s="321"/>
      <c r="H93" s="321"/>
      <c r="I93" s="321"/>
      <c r="J93" s="464"/>
      <c r="K93" s="404" t="str">
        <f t="shared" si="2"/>
        <v/>
      </c>
      <c r="L93" s="323"/>
      <c r="M93" s="324"/>
      <c r="O93" s="659"/>
      <c r="P93" s="674">
        <f t="shared" si="3"/>
        <v>0</v>
      </c>
      <c r="Q93" s="674">
        <f t="shared" si="4"/>
        <v>0</v>
      </c>
      <c r="R93" s="674">
        <f t="shared" si="5"/>
        <v>0</v>
      </c>
      <c r="S93" s="674">
        <f t="shared" si="6"/>
        <v>0</v>
      </c>
      <c r="T93" s="674">
        <f t="shared" si="7"/>
        <v>0</v>
      </c>
      <c r="U93" s="674">
        <f t="shared" si="8"/>
        <v>0</v>
      </c>
      <c r="V93" s="675">
        <f t="shared" si="9"/>
        <v>0</v>
      </c>
      <c r="W93" s="659"/>
      <c r="X93" s="659"/>
      <c r="Y93" s="660"/>
      <c r="Z93" s="660"/>
    </row>
    <row r="94" spans="2:26">
      <c r="B94" s="780"/>
      <c r="C94" s="781"/>
      <c r="D94" s="401"/>
      <c r="E94" s="227"/>
      <c r="F94" s="321"/>
      <c r="G94" s="321"/>
      <c r="H94" s="321"/>
      <c r="I94" s="321"/>
      <c r="J94" s="464"/>
      <c r="K94" s="404" t="str">
        <f t="shared" si="2"/>
        <v/>
      </c>
      <c r="L94" s="323"/>
      <c r="M94" s="324"/>
      <c r="O94" s="659"/>
      <c r="P94" s="674">
        <f t="shared" si="3"/>
        <v>0</v>
      </c>
      <c r="Q94" s="674">
        <f t="shared" si="4"/>
        <v>0</v>
      </c>
      <c r="R94" s="674">
        <f t="shared" si="5"/>
        <v>0</v>
      </c>
      <c r="S94" s="674">
        <f t="shared" si="6"/>
        <v>0</v>
      </c>
      <c r="T94" s="674">
        <f t="shared" si="7"/>
        <v>0</v>
      </c>
      <c r="U94" s="674">
        <f t="shared" si="8"/>
        <v>0</v>
      </c>
      <c r="V94" s="675">
        <f t="shared" si="9"/>
        <v>0</v>
      </c>
      <c r="W94" s="659"/>
      <c r="X94" s="659"/>
      <c r="Y94" s="660"/>
      <c r="Z94" s="660"/>
    </row>
    <row r="95" spans="2:26" ht="13.5" thickBot="1">
      <c r="B95" s="782"/>
      <c r="C95" s="783"/>
      <c r="D95" s="402"/>
      <c r="E95" s="465"/>
      <c r="F95" s="322"/>
      <c r="G95" s="322"/>
      <c r="H95" s="322"/>
      <c r="I95" s="322"/>
      <c r="J95" s="466"/>
      <c r="K95" s="404" t="str">
        <f t="shared" si="2"/>
        <v/>
      </c>
      <c r="L95" s="323"/>
      <c r="M95" s="324"/>
      <c r="O95" s="659"/>
      <c r="P95" s="674">
        <f t="shared" si="3"/>
        <v>0</v>
      </c>
      <c r="Q95" s="674">
        <f t="shared" si="4"/>
        <v>0</v>
      </c>
      <c r="R95" s="674">
        <f t="shared" si="5"/>
        <v>0</v>
      </c>
      <c r="S95" s="674">
        <f t="shared" si="6"/>
        <v>0</v>
      </c>
      <c r="T95" s="674">
        <f t="shared" si="7"/>
        <v>0</v>
      </c>
      <c r="U95" s="674">
        <f t="shared" si="8"/>
        <v>0</v>
      </c>
      <c r="V95" s="675">
        <f t="shared" si="9"/>
        <v>0</v>
      </c>
      <c r="W95" s="659"/>
      <c r="X95" s="659"/>
      <c r="Y95" s="660"/>
      <c r="Z95" s="660"/>
    </row>
    <row r="96" spans="2:26" ht="13.5" thickBot="1">
      <c r="B96" s="5"/>
      <c r="C96" s="5"/>
      <c r="D96" s="5"/>
      <c r="E96" s="5"/>
      <c r="F96" s="5"/>
      <c r="G96" s="5"/>
      <c r="H96" s="5"/>
      <c r="I96" s="5"/>
      <c r="J96" s="323"/>
      <c r="K96" s="324"/>
      <c r="L96" s="324"/>
      <c r="M96" s="324"/>
      <c r="O96" s="659"/>
      <c r="P96" s="664"/>
      <c r="Q96" s="664"/>
      <c r="R96" s="664"/>
      <c r="S96" s="659"/>
      <c r="T96" s="659"/>
      <c r="U96" s="659"/>
      <c r="V96" s="659"/>
      <c r="W96" s="659"/>
      <c r="X96" s="659"/>
      <c r="Y96" s="660"/>
      <c r="Z96" s="660"/>
    </row>
    <row r="97" spans="2:26" ht="24" customHeight="1" thickBot="1">
      <c r="B97" s="14" t="s">
        <v>12</v>
      </c>
      <c r="C97" s="290"/>
      <c r="D97" s="15"/>
      <c r="E97" s="15"/>
      <c r="F97" s="15"/>
      <c r="G97" s="16"/>
      <c r="H97" s="785" t="s">
        <v>220</v>
      </c>
      <c r="I97" s="786"/>
      <c r="J97" s="786"/>
      <c r="K97" s="786"/>
      <c r="L97" s="786"/>
      <c r="M97" s="324"/>
      <c r="O97" s="659"/>
      <c r="P97" s="659"/>
      <c r="Q97" s="659"/>
      <c r="R97" s="659"/>
      <c r="S97" s="659"/>
      <c r="T97" s="659"/>
      <c r="U97" s="659"/>
      <c r="V97" s="659"/>
      <c r="W97" s="659"/>
      <c r="X97" s="659"/>
      <c r="Y97" s="660"/>
      <c r="Z97" s="660"/>
    </row>
    <row r="98" spans="2:26" ht="51.75" thickBot="1">
      <c r="B98" s="317" t="s">
        <v>145</v>
      </c>
      <c r="C98" s="289"/>
      <c r="D98" s="11" t="s">
        <v>122</v>
      </c>
      <c r="E98" s="11" t="s">
        <v>123</v>
      </c>
      <c r="F98" s="11" t="s">
        <v>224</v>
      </c>
      <c r="G98" s="17" t="s">
        <v>13</v>
      </c>
      <c r="H98" s="11" t="s">
        <v>221</v>
      </c>
      <c r="I98" s="11" t="s">
        <v>238</v>
      </c>
      <c r="J98" s="11" t="s">
        <v>222</v>
      </c>
      <c r="K98" s="11" t="s">
        <v>223</v>
      </c>
      <c r="L98" s="12" t="s">
        <v>237</v>
      </c>
      <c r="M98" s="324"/>
      <c r="O98" s="659"/>
      <c r="P98" s="659"/>
      <c r="Q98" s="672" t="s">
        <v>173</v>
      </c>
      <c r="R98" s="673" t="s">
        <v>177</v>
      </c>
      <c r="S98" s="673" t="s">
        <v>174</v>
      </c>
      <c r="T98" s="673" t="s">
        <v>175</v>
      </c>
      <c r="U98" s="659" t="s">
        <v>229</v>
      </c>
      <c r="V98" s="672" t="s">
        <v>30</v>
      </c>
      <c r="W98" s="659"/>
      <c r="X98" s="659"/>
      <c r="Y98" s="660"/>
      <c r="Z98" s="660"/>
    </row>
    <row r="99" spans="2:26" ht="13.5" thickTop="1">
      <c r="B99" s="787" t="s">
        <v>267</v>
      </c>
      <c r="C99" s="788"/>
      <c r="D99" s="707">
        <v>25000</v>
      </c>
      <c r="E99" s="706">
        <v>10000</v>
      </c>
      <c r="F99" s="708">
        <v>20</v>
      </c>
      <c r="G99" s="709">
        <v>1000</v>
      </c>
      <c r="H99" s="13">
        <v>1</v>
      </c>
      <c r="I99" s="13"/>
      <c r="J99" s="13"/>
      <c r="K99" s="13"/>
      <c r="L99" s="319"/>
      <c r="M99" s="347" t="str">
        <f t="shared" ref="M99:M108" si="11">IF(SUM(H99:K99)&gt;1,"Totals over 100%",IF(COUNTBLANK(H99:K99)=0,IF(SUM(H99:K99)&lt;1,"Totals less than 100%",""),""))</f>
        <v/>
      </c>
      <c r="O99" s="659"/>
      <c r="P99" s="674">
        <f>SUM(H99:L99)</f>
        <v>1</v>
      </c>
      <c r="Q99" s="674">
        <f>IFERROR(IF(H99="",Q$75/(IF($H99="",$Q$75,0)+IF($I99="",$R$75,0)+IF($J99="",$S$75,0)+IF($K99="",$T$75,0)+IF($L99="",$U$75,0))*(1-$P99),H99),0)</f>
        <v>1</v>
      </c>
      <c r="R99" s="674">
        <f t="shared" ref="R99:V99" si="12">IFERROR(IF(I99="",R$75/(IF($H99="",$Q$75,0)+IF($I99="",$R$75,0)+IF($J99="",$S$75,0)+IF($K99="",$T$75,0)+IF($L99="",$U$75,0))*(1-$P99),I99),0)</f>
        <v>0</v>
      </c>
      <c r="S99" s="674">
        <f t="shared" si="12"/>
        <v>0</v>
      </c>
      <c r="T99" s="674">
        <f t="shared" si="12"/>
        <v>0</v>
      </c>
      <c r="U99" s="674">
        <f t="shared" si="12"/>
        <v>0</v>
      </c>
      <c r="V99" s="674">
        <f t="shared" si="12"/>
        <v>0</v>
      </c>
      <c r="W99" s="659"/>
      <c r="X99" s="659"/>
      <c r="Y99" s="660"/>
      <c r="Z99" s="660"/>
    </row>
    <row r="100" spans="2:26">
      <c r="B100" s="755" t="s">
        <v>276</v>
      </c>
      <c r="C100" s="756"/>
      <c r="D100" s="710">
        <v>100000</v>
      </c>
      <c r="E100" s="716">
        <v>25000</v>
      </c>
      <c r="F100" s="711">
        <v>10</v>
      </c>
      <c r="G100" s="716">
        <v>2000</v>
      </c>
      <c r="H100" s="712">
        <v>1</v>
      </c>
      <c r="I100" s="712"/>
      <c r="J100" s="712"/>
      <c r="K100" s="712"/>
      <c r="L100" s="464"/>
      <c r="M100" s="347" t="str">
        <f t="shared" si="11"/>
        <v/>
      </c>
      <c r="O100" s="659"/>
      <c r="P100" s="674">
        <f t="shared" ref="P100:P108" si="13">SUM(H100:L100)</f>
        <v>1</v>
      </c>
      <c r="Q100" s="674">
        <f t="shared" ref="Q100:Q108" si="14">IFERROR(IF(H100="",Q$75/(IF($H100="",$Q$75,0)+IF($I100="",$R$75,0)+IF($J100="",$S$75,0)+IF($K100="",$T$75,0)+IF($L100="",$U$75,0))*(1-$P100),H100),0)</f>
        <v>1</v>
      </c>
      <c r="R100" s="674">
        <f t="shared" ref="R100:R108" si="15">IFERROR(IF(I100="",R$75/(IF($H100="",$Q$75,0)+IF($I100="",$R$75,0)+IF($J100="",$S$75,0)+IF($K100="",$T$75,0)+IF($L100="",$U$75,0))*(1-$P100),I100),0)</f>
        <v>0</v>
      </c>
      <c r="S100" s="674">
        <f t="shared" ref="S100:S108" si="16">IFERROR(IF(J100="",S$75/(IF($H100="",$Q$75,0)+IF($I100="",$R$75,0)+IF($J100="",$S$75,0)+IF($K100="",$T$75,0)+IF($L100="",$U$75,0))*(1-$P100),J100),0)</f>
        <v>0</v>
      </c>
      <c r="T100" s="674">
        <f t="shared" ref="T100:T108" si="17">IFERROR(IF(K100="",T$75/(IF($H100="",$Q$75,0)+IF($I100="",$R$75,0)+IF($J100="",$S$75,0)+IF($K100="",$T$75,0)+IF($L100="",$U$75,0))*(1-$P100),K100),0)</f>
        <v>0</v>
      </c>
      <c r="U100" s="674">
        <f t="shared" ref="U100:U108" si="18">IFERROR(IF(L100="",U$75/(IF($H100="",$Q$75,0)+IF($I100="",$R$75,0)+IF($J100="",$S$75,0)+IF($K100="",$T$75,0)+IF($L100="",$U$75,0))*(1-$P100),L100),0)</f>
        <v>0</v>
      </c>
      <c r="V100" s="674">
        <f t="shared" ref="V100:V108" si="19">IFERROR(IF(M100="",V$75/(IF($H100="",$Q$75,0)+IF($I100="",$R$75,0)+IF($J100="",$S$75,0)+IF($K100="",$T$75,0)+IF($L100="",$U$75,0))*(1-$P100),M100),0)</f>
        <v>0</v>
      </c>
      <c r="W100" s="659"/>
      <c r="X100" s="659"/>
      <c r="Y100" s="660"/>
      <c r="Z100" s="660"/>
    </row>
    <row r="101" spans="2:26">
      <c r="B101" s="780" t="s">
        <v>260</v>
      </c>
      <c r="C101" s="781"/>
      <c r="D101" s="710">
        <v>30000</v>
      </c>
      <c r="E101" s="716">
        <v>10000</v>
      </c>
      <c r="F101" s="711">
        <v>7</v>
      </c>
      <c r="G101" s="716">
        <v>1000</v>
      </c>
      <c r="H101" s="712">
        <v>0.4</v>
      </c>
      <c r="I101" s="712"/>
      <c r="J101" s="712"/>
      <c r="K101" s="712"/>
      <c r="L101" s="464"/>
      <c r="M101" s="347" t="str">
        <f t="shared" si="11"/>
        <v/>
      </c>
      <c r="O101" s="659"/>
      <c r="P101" s="674">
        <f t="shared" si="13"/>
        <v>0.4</v>
      </c>
      <c r="Q101" s="674">
        <f t="shared" si="14"/>
        <v>0.4</v>
      </c>
      <c r="R101" s="674">
        <f t="shared" si="15"/>
        <v>0.6</v>
      </c>
      <c r="S101" s="674">
        <f t="shared" si="16"/>
        <v>0</v>
      </c>
      <c r="T101" s="674">
        <f t="shared" si="17"/>
        <v>0</v>
      </c>
      <c r="U101" s="674">
        <f t="shared" si="18"/>
        <v>0</v>
      </c>
      <c r="V101" s="674">
        <f t="shared" si="19"/>
        <v>0</v>
      </c>
      <c r="W101" s="659"/>
      <c r="X101" s="659"/>
      <c r="Y101" s="660"/>
      <c r="Z101" s="660"/>
    </row>
    <row r="102" spans="2:26">
      <c r="B102" s="780" t="s">
        <v>268</v>
      </c>
      <c r="C102" s="781"/>
      <c r="D102" s="197">
        <v>30000</v>
      </c>
      <c r="E102" s="198">
        <v>10000</v>
      </c>
      <c r="F102" s="206">
        <v>20</v>
      </c>
      <c r="G102" s="198">
        <v>500</v>
      </c>
      <c r="H102" s="321">
        <v>1</v>
      </c>
      <c r="I102" s="321"/>
      <c r="J102" s="321"/>
      <c r="K102" s="321"/>
      <c r="L102" s="464"/>
      <c r="M102" s="347" t="str">
        <f t="shared" si="11"/>
        <v/>
      </c>
      <c r="O102" s="659"/>
      <c r="P102" s="674">
        <f t="shared" si="13"/>
        <v>1</v>
      </c>
      <c r="Q102" s="674">
        <f t="shared" si="14"/>
        <v>1</v>
      </c>
      <c r="R102" s="674">
        <f t="shared" si="15"/>
        <v>0</v>
      </c>
      <c r="S102" s="674">
        <f t="shared" si="16"/>
        <v>0</v>
      </c>
      <c r="T102" s="674">
        <f t="shared" si="17"/>
        <v>0</v>
      </c>
      <c r="U102" s="674">
        <f t="shared" si="18"/>
        <v>0</v>
      </c>
      <c r="V102" s="674">
        <f t="shared" si="19"/>
        <v>0</v>
      </c>
      <c r="W102" s="659"/>
      <c r="X102" s="659"/>
      <c r="Y102" s="660"/>
      <c r="Z102" s="660"/>
    </row>
    <row r="103" spans="2:26">
      <c r="B103" s="780"/>
      <c r="C103" s="781"/>
      <c r="D103" s="197"/>
      <c r="E103" s="198"/>
      <c r="F103" s="206"/>
      <c r="G103" s="198"/>
      <c r="H103" s="321"/>
      <c r="I103" s="321"/>
      <c r="J103" s="321"/>
      <c r="K103" s="321"/>
      <c r="L103" s="464"/>
      <c r="M103" s="347" t="str">
        <f t="shared" si="11"/>
        <v/>
      </c>
      <c r="O103" s="659"/>
      <c r="P103" s="674">
        <f t="shared" si="13"/>
        <v>0</v>
      </c>
      <c r="Q103" s="674">
        <f t="shared" si="14"/>
        <v>0.93885666805825407</v>
      </c>
      <c r="R103" s="674">
        <f t="shared" si="15"/>
        <v>6.1143331941745892E-2</v>
      </c>
      <c r="S103" s="674">
        <f t="shared" si="16"/>
        <v>0</v>
      </c>
      <c r="T103" s="674">
        <f t="shared" si="17"/>
        <v>0</v>
      </c>
      <c r="U103" s="674">
        <f t="shared" si="18"/>
        <v>0</v>
      </c>
      <c r="V103" s="674">
        <f t="shared" si="19"/>
        <v>0</v>
      </c>
      <c r="W103" s="659"/>
      <c r="X103" s="659"/>
      <c r="Y103" s="660"/>
      <c r="Z103" s="660"/>
    </row>
    <row r="104" spans="2:26">
      <c r="B104" s="780"/>
      <c r="C104" s="781"/>
      <c r="D104" s="198"/>
      <c r="E104" s="198"/>
      <c r="F104" s="206"/>
      <c r="G104" s="198"/>
      <c r="H104" s="321"/>
      <c r="I104" s="321"/>
      <c r="J104" s="321"/>
      <c r="K104" s="321"/>
      <c r="L104" s="464"/>
      <c r="M104" s="347" t="str">
        <f t="shared" si="11"/>
        <v/>
      </c>
      <c r="O104" s="659"/>
      <c r="P104" s="674">
        <f t="shared" si="13"/>
        <v>0</v>
      </c>
      <c r="Q104" s="674">
        <f t="shared" si="14"/>
        <v>0.93885666805825407</v>
      </c>
      <c r="R104" s="674">
        <f t="shared" si="15"/>
        <v>6.1143331941745892E-2</v>
      </c>
      <c r="S104" s="674">
        <f t="shared" si="16"/>
        <v>0</v>
      </c>
      <c r="T104" s="674">
        <f t="shared" si="17"/>
        <v>0</v>
      </c>
      <c r="U104" s="674">
        <f t="shared" si="18"/>
        <v>0</v>
      </c>
      <c r="V104" s="674">
        <f t="shared" si="19"/>
        <v>0</v>
      </c>
      <c r="W104" s="659"/>
      <c r="X104" s="659"/>
      <c r="Y104" s="660"/>
      <c r="Z104" s="660"/>
    </row>
    <row r="105" spans="2:26">
      <c r="B105" s="780"/>
      <c r="C105" s="781"/>
      <c r="D105" s="198"/>
      <c r="E105" s="198"/>
      <c r="F105" s="206"/>
      <c r="G105" s="2"/>
      <c r="H105" s="321"/>
      <c r="I105" s="321"/>
      <c r="J105" s="321"/>
      <c r="K105" s="321"/>
      <c r="L105" s="464"/>
      <c r="M105" s="347" t="str">
        <f t="shared" si="11"/>
        <v/>
      </c>
      <c r="O105" s="659"/>
      <c r="P105" s="674">
        <f t="shared" si="13"/>
        <v>0</v>
      </c>
      <c r="Q105" s="674">
        <f t="shared" si="14"/>
        <v>0.93885666805825407</v>
      </c>
      <c r="R105" s="674">
        <f t="shared" si="15"/>
        <v>6.1143331941745892E-2</v>
      </c>
      <c r="S105" s="674">
        <f t="shared" si="16"/>
        <v>0</v>
      </c>
      <c r="T105" s="674">
        <f t="shared" si="17"/>
        <v>0</v>
      </c>
      <c r="U105" s="674">
        <f t="shared" si="18"/>
        <v>0</v>
      </c>
      <c r="V105" s="674">
        <f t="shared" si="19"/>
        <v>0</v>
      </c>
      <c r="W105" s="659"/>
      <c r="X105" s="659"/>
      <c r="Y105" s="660"/>
      <c r="Z105" s="660"/>
    </row>
    <row r="106" spans="2:26">
      <c r="B106" s="780"/>
      <c r="C106" s="781"/>
      <c r="D106" s="198"/>
      <c r="E106" s="198"/>
      <c r="F106" s="206"/>
      <c r="G106" s="2"/>
      <c r="H106" s="321"/>
      <c r="I106" s="321"/>
      <c r="J106" s="321"/>
      <c r="K106" s="321"/>
      <c r="L106" s="464"/>
      <c r="M106" s="347" t="str">
        <f t="shared" si="11"/>
        <v/>
      </c>
      <c r="O106" s="659"/>
      <c r="P106" s="674">
        <f t="shared" si="13"/>
        <v>0</v>
      </c>
      <c r="Q106" s="674">
        <f t="shared" si="14"/>
        <v>0.93885666805825407</v>
      </c>
      <c r="R106" s="674">
        <f t="shared" si="15"/>
        <v>6.1143331941745892E-2</v>
      </c>
      <c r="S106" s="674">
        <f t="shared" si="16"/>
        <v>0</v>
      </c>
      <c r="T106" s="674">
        <f t="shared" si="17"/>
        <v>0</v>
      </c>
      <c r="U106" s="674">
        <f t="shared" si="18"/>
        <v>0</v>
      </c>
      <c r="V106" s="674">
        <f t="shared" si="19"/>
        <v>0</v>
      </c>
      <c r="W106" s="659"/>
      <c r="X106" s="659"/>
      <c r="Y106" s="660"/>
      <c r="Z106" s="660"/>
    </row>
    <row r="107" spans="2:26">
      <c r="B107" s="780"/>
      <c r="C107" s="781"/>
      <c r="D107" s="198"/>
      <c r="E107" s="198"/>
      <c r="F107" s="206"/>
      <c r="G107" s="2"/>
      <c r="H107" s="321"/>
      <c r="I107" s="321"/>
      <c r="J107" s="321"/>
      <c r="K107" s="321"/>
      <c r="L107" s="464"/>
      <c r="M107" s="347" t="str">
        <f t="shared" si="11"/>
        <v/>
      </c>
      <c r="O107" s="659"/>
      <c r="P107" s="674">
        <f t="shared" si="13"/>
        <v>0</v>
      </c>
      <c r="Q107" s="674">
        <f t="shared" si="14"/>
        <v>0.93885666805825407</v>
      </c>
      <c r="R107" s="674">
        <f t="shared" si="15"/>
        <v>6.1143331941745892E-2</v>
      </c>
      <c r="S107" s="674">
        <f t="shared" si="16"/>
        <v>0</v>
      </c>
      <c r="T107" s="674">
        <f t="shared" si="17"/>
        <v>0</v>
      </c>
      <c r="U107" s="674">
        <f t="shared" si="18"/>
        <v>0</v>
      </c>
      <c r="V107" s="674">
        <f t="shared" si="19"/>
        <v>0</v>
      </c>
      <c r="W107" s="659"/>
      <c r="X107" s="659"/>
      <c r="Y107" s="660"/>
      <c r="Z107" s="660"/>
    </row>
    <row r="108" spans="2:26" ht="13.5" thickBot="1">
      <c r="B108" s="782"/>
      <c r="C108" s="783"/>
      <c r="D108" s="199"/>
      <c r="E108" s="199"/>
      <c r="F108" s="1"/>
      <c r="G108" s="3"/>
      <c r="H108" s="322"/>
      <c r="I108" s="322"/>
      <c r="J108" s="322"/>
      <c r="K108" s="322"/>
      <c r="L108" s="466"/>
      <c r="M108" s="347" t="str">
        <f t="shared" si="11"/>
        <v/>
      </c>
      <c r="O108" s="659"/>
      <c r="P108" s="674">
        <f t="shared" si="13"/>
        <v>0</v>
      </c>
      <c r="Q108" s="674">
        <f t="shared" si="14"/>
        <v>0.93885666805825407</v>
      </c>
      <c r="R108" s="674">
        <f t="shared" si="15"/>
        <v>6.1143331941745892E-2</v>
      </c>
      <c r="S108" s="674">
        <f t="shared" si="16"/>
        <v>0</v>
      </c>
      <c r="T108" s="674">
        <f t="shared" si="17"/>
        <v>0</v>
      </c>
      <c r="U108" s="674">
        <f t="shared" si="18"/>
        <v>0</v>
      </c>
      <c r="V108" s="674">
        <f t="shared" si="19"/>
        <v>0</v>
      </c>
      <c r="W108" s="659"/>
      <c r="X108" s="659"/>
      <c r="Y108" s="660"/>
      <c r="Z108" s="660"/>
    </row>
    <row r="109" spans="2:26" ht="18.75" customHeight="1" thickBot="1">
      <c r="B109" s="5"/>
      <c r="C109" s="5"/>
      <c r="D109" s="5"/>
      <c r="E109" s="5"/>
      <c r="F109" s="5"/>
      <c r="G109" s="5"/>
      <c r="H109" s="200"/>
      <c r="I109" s="200"/>
      <c r="J109" s="323"/>
      <c r="K109" s="324"/>
      <c r="L109" s="324"/>
      <c r="M109" s="324"/>
      <c r="O109" s="659"/>
      <c r="P109" s="659"/>
      <c r="Q109" s="659"/>
      <c r="R109" s="659"/>
      <c r="S109" s="659"/>
      <c r="T109" s="659"/>
      <c r="U109" s="659"/>
      <c r="V109" s="659"/>
      <c r="W109" s="659"/>
      <c r="X109" s="659"/>
      <c r="Y109" s="660"/>
      <c r="Z109" s="660"/>
    </row>
    <row r="110" spans="2:26" ht="17.25" customHeight="1" thickBot="1">
      <c r="B110" s="18" t="s">
        <v>15</v>
      </c>
      <c r="C110" s="288"/>
      <c r="D110" s="19"/>
      <c r="E110" s="20"/>
      <c r="F110" s="352"/>
      <c r="G110" s="353"/>
      <c r="H110" s="353"/>
      <c r="I110" s="353"/>
      <c r="J110" s="353"/>
      <c r="K110" s="353"/>
      <c r="L110" s="353"/>
      <c r="M110" s="324"/>
      <c r="O110" s="659"/>
      <c r="P110" s="659"/>
      <c r="Q110" s="659"/>
      <c r="R110" s="659"/>
      <c r="S110" s="659"/>
      <c r="T110" s="659"/>
      <c r="U110" s="659"/>
      <c r="V110" s="659"/>
      <c r="W110" s="659"/>
      <c r="X110" s="659"/>
      <c r="Y110" s="660"/>
      <c r="Z110" s="660"/>
    </row>
    <row r="111" spans="2:26">
      <c r="B111" s="348" t="s">
        <v>16</v>
      </c>
      <c r="C111" s="349"/>
      <c r="D111" s="349"/>
      <c r="E111" s="713">
        <v>0.06</v>
      </c>
      <c r="F111" s="352"/>
      <c r="G111" s="353"/>
      <c r="H111" s="353"/>
      <c r="I111" s="353"/>
      <c r="J111" s="353"/>
      <c r="K111" s="353"/>
      <c r="L111" s="353"/>
      <c r="M111" s="324"/>
      <c r="O111" s="659"/>
      <c r="P111" s="659"/>
      <c r="Q111" s="659"/>
      <c r="R111" s="659"/>
      <c r="S111" s="659"/>
      <c r="T111" s="659"/>
      <c r="U111" s="659"/>
      <c r="V111" s="659"/>
      <c r="W111" s="659"/>
      <c r="X111" s="659"/>
      <c r="Y111" s="660"/>
      <c r="Z111" s="660"/>
    </row>
    <row r="112" spans="2:26" ht="13.5" thickBot="1">
      <c r="B112" s="350" t="s">
        <v>17</v>
      </c>
      <c r="C112" s="351"/>
      <c r="D112" s="351"/>
      <c r="E112" s="714">
        <v>0.03</v>
      </c>
      <c r="F112" s="352"/>
      <c r="G112" s="353"/>
      <c r="H112" s="353"/>
      <c r="I112" s="353"/>
      <c r="J112" s="353"/>
      <c r="K112" s="353"/>
      <c r="L112" s="353"/>
      <c r="M112" s="324"/>
      <c r="O112" s="659"/>
      <c r="P112" s="659"/>
      <c r="Q112" s="659"/>
      <c r="R112" s="659"/>
      <c r="S112" s="659"/>
      <c r="T112" s="659"/>
      <c r="U112" s="659"/>
      <c r="V112" s="659"/>
      <c r="W112" s="659"/>
      <c r="X112" s="659"/>
      <c r="Y112" s="660"/>
      <c r="Z112" s="660"/>
    </row>
    <row r="113" spans="2:26" ht="13.5" thickBot="1">
      <c r="B113" s="5"/>
      <c r="C113" s="5"/>
      <c r="D113" s="5"/>
      <c r="E113" s="5"/>
      <c r="F113" s="5"/>
      <c r="G113" s="5"/>
      <c r="H113" s="5"/>
      <c r="I113" s="5"/>
      <c r="J113" s="323"/>
      <c r="K113" s="324"/>
      <c r="L113" s="324"/>
      <c r="M113" s="324"/>
      <c r="O113" s="659"/>
      <c r="P113" s="659"/>
      <c r="Q113" s="659"/>
      <c r="R113" s="659"/>
      <c r="S113" s="659"/>
      <c r="T113" s="659"/>
      <c r="U113" s="659"/>
      <c r="V113" s="659"/>
      <c r="W113" s="659"/>
      <c r="X113" s="659"/>
      <c r="Y113" s="660"/>
      <c r="Z113" s="660"/>
    </row>
    <row r="114" spans="2:26" ht="21.75" customHeight="1" thickBot="1">
      <c r="B114" s="4" t="s">
        <v>51</v>
      </c>
      <c r="C114" s="287"/>
      <c r="D114" s="7"/>
      <c r="E114" s="7"/>
      <c r="F114" s="8"/>
      <c r="G114" s="785" t="s">
        <v>220</v>
      </c>
      <c r="H114" s="786"/>
      <c r="I114" s="786"/>
      <c r="J114" s="786"/>
      <c r="K114" s="786"/>
      <c r="L114" s="324"/>
      <c r="M114" s="324"/>
      <c r="O114" s="659"/>
      <c r="P114" s="659"/>
      <c r="Q114" s="659"/>
      <c r="R114" s="659"/>
      <c r="S114" s="659"/>
      <c r="T114" s="659"/>
      <c r="U114" s="659"/>
      <c r="V114" s="659"/>
      <c r="W114" s="659"/>
      <c r="X114" s="659"/>
      <c r="Y114" s="660"/>
      <c r="Z114" s="660"/>
    </row>
    <row r="115" spans="2:26" ht="61.5" customHeight="1" thickBot="1">
      <c r="B115" s="333" t="s">
        <v>51</v>
      </c>
      <c r="C115" s="334"/>
      <c r="D115" s="335"/>
      <c r="E115" s="338" t="s">
        <v>55</v>
      </c>
      <c r="F115" s="336"/>
      <c r="G115" s="11" t="s">
        <v>221</v>
      </c>
      <c r="H115" s="11" t="s">
        <v>238</v>
      </c>
      <c r="I115" s="11" t="s">
        <v>222</v>
      </c>
      <c r="J115" s="11" t="s">
        <v>223</v>
      </c>
      <c r="K115" s="12" t="s">
        <v>237</v>
      </c>
      <c r="L115" s="324"/>
      <c r="M115" s="324"/>
      <c r="O115" s="659"/>
      <c r="P115" s="659"/>
      <c r="Q115" s="672" t="s">
        <v>173</v>
      </c>
      <c r="R115" s="673" t="s">
        <v>177</v>
      </c>
      <c r="S115" s="673" t="s">
        <v>174</v>
      </c>
      <c r="T115" s="673" t="s">
        <v>175</v>
      </c>
      <c r="U115" s="659" t="s">
        <v>229</v>
      </c>
      <c r="V115" s="672" t="s">
        <v>30</v>
      </c>
      <c r="W115" s="659"/>
      <c r="X115" s="659"/>
      <c r="Y115" s="660"/>
      <c r="Z115" s="660"/>
    </row>
    <row r="116" spans="2:26" ht="13.5" thickTop="1">
      <c r="B116" s="348" t="s">
        <v>115</v>
      </c>
      <c r="C116" s="349"/>
      <c r="D116" s="349"/>
      <c r="E116" s="715"/>
      <c r="F116" s="332"/>
      <c r="G116" s="331"/>
      <c r="H116" s="321"/>
      <c r="I116" s="321"/>
      <c r="J116" s="321"/>
      <c r="K116" s="464"/>
      <c r="L116" s="347"/>
      <c r="M116" s="324"/>
      <c r="O116" s="659"/>
      <c r="P116" s="674">
        <f t="shared" ref="P116:P121" si="20">SUM(G116:J116)</f>
        <v>0</v>
      </c>
      <c r="Q116" s="674">
        <f>IFERROR(IF(G116="",Q$75/(IF($G116="",$Q$75,0)+IF($H116="",$R$75,0)+IF($I116="",$S$75,0)+IF($J116="",$T$75,0)+IF($K116="",$U$75,0))*(1-$P116),G116),0)</f>
        <v>0.93885666805825407</v>
      </c>
      <c r="R116" s="674">
        <f t="shared" ref="R116:V116" si="21">IFERROR(IF(H116="",R$75/(IF($G116="",$Q$75,0)+IF($H116="",$R$75,0)+IF($I116="",$S$75,0)+IF($J116="",$T$75,0)+IF($K116="",$U$75,0))*(1-$P116),H116),0)</f>
        <v>6.1143331941745892E-2</v>
      </c>
      <c r="S116" s="674">
        <f t="shared" si="21"/>
        <v>0</v>
      </c>
      <c r="T116" s="674">
        <f t="shared" si="21"/>
        <v>0</v>
      </c>
      <c r="U116" s="674">
        <f t="shared" si="21"/>
        <v>0</v>
      </c>
      <c r="V116" s="674">
        <f t="shared" si="21"/>
        <v>0</v>
      </c>
      <c r="W116" s="659"/>
      <c r="X116" s="659"/>
      <c r="Y116" s="660"/>
      <c r="Z116" s="660"/>
    </row>
    <row r="117" spans="2:26">
      <c r="B117" s="348" t="s">
        <v>18</v>
      </c>
      <c r="C117" s="349"/>
      <c r="D117" s="349"/>
      <c r="E117" s="716"/>
      <c r="F117" s="291" t="s">
        <v>19</v>
      </c>
      <c r="G117" s="331"/>
      <c r="H117" s="321"/>
      <c r="I117" s="321"/>
      <c r="J117" s="321"/>
      <c r="K117" s="464"/>
      <c r="L117" s="347"/>
      <c r="M117" s="324"/>
      <c r="O117" s="659"/>
      <c r="P117" s="674">
        <f t="shared" si="20"/>
        <v>0</v>
      </c>
      <c r="Q117" s="674">
        <f t="shared" ref="Q117:Q121" si="22">IFERROR(IF(G117="",Q$75/(IF($G117="",$Q$75,0)+IF($H117="",$R$75,0)+IF($I117="",$S$75,0)+IF($J117="",$T$75,0)+IF($K117="",$U$75,0))*(1-$P117),G117),0)</f>
        <v>0.93885666805825407</v>
      </c>
      <c r="R117" s="674">
        <f t="shared" ref="R117:R121" si="23">IFERROR(IF(H117="",R$75/(IF($G117="",$Q$75,0)+IF($H117="",$R$75,0)+IF($I117="",$S$75,0)+IF($J117="",$T$75,0)+IF($K117="",$U$75,0))*(1-$P117),H117),0)</f>
        <v>6.1143331941745892E-2</v>
      </c>
      <c r="S117" s="674">
        <f t="shared" ref="S117:S121" si="24">IFERROR(IF(I117="",S$75/(IF($G117="",$Q$75,0)+IF($H117="",$R$75,0)+IF($I117="",$S$75,0)+IF($J117="",$T$75,0)+IF($K117="",$U$75,0))*(1-$P117),I117),0)</f>
        <v>0</v>
      </c>
      <c r="T117" s="674">
        <f t="shared" ref="T117:T121" si="25">IFERROR(IF(J117="",T$75/(IF($G117="",$Q$75,0)+IF($H117="",$R$75,0)+IF($I117="",$S$75,0)+IF($J117="",$T$75,0)+IF($K117="",$U$75,0))*(1-$P117),J117),0)</f>
        <v>0</v>
      </c>
      <c r="U117" s="674">
        <f t="shared" ref="U117:U121" si="26">IFERROR(IF(K117="",U$75/(IF($G117="",$Q$75,0)+IF($H117="",$R$75,0)+IF($I117="",$S$75,0)+IF($J117="",$T$75,0)+IF($K117="",$U$75,0))*(1-$P117),K117),0)</f>
        <v>0</v>
      </c>
      <c r="V117" s="674">
        <f t="shared" ref="V117:V121" si="27">IFERROR(IF(L117="",V$75/(IF($G117="",$Q$75,0)+IF($H117="",$R$75,0)+IF($I117="",$S$75,0)+IF($J117="",$T$75,0)+IF($K117="",$U$75,0))*(1-$P117),L117),0)</f>
        <v>0</v>
      </c>
      <c r="W117" s="659"/>
      <c r="X117" s="659"/>
      <c r="Y117" s="660"/>
      <c r="Z117" s="660"/>
    </row>
    <row r="118" spans="2:26">
      <c r="B118" s="348" t="s">
        <v>20</v>
      </c>
      <c r="C118" s="349"/>
      <c r="D118" s="349"/>
      <c r="E118" s="716">
        <v>1500</v>
      </c>
      <c r="F118" s="291" t="s">
        <v>19</v>
      </c>
      <c r="G118" s="331"/>
      <c r="H118" s="321"/>
      <c r="I118" s="321"/>
      <c r="J118" s="321"/>
      <c r="K118" s="464"/>
      <c r="L118" s="347"/>
      <c r="M118" s="324"/>
      <c r="O118" s="659"/>
      <c r="P118" s="674">
        <f t="shared" si="20"/>
        <v>0</v>
      </c>
      <c r="Q118" s="674">
        <f t="shared" si="22"/>
        <v>0.93885666805825407</v>
      </c>
      <c r="R118" s="674">
        <f t="shared" si="23"/>
        <v>6.1143331941745892E-2</v>
      </c>
      <c r="S118" s="674">
        <f t="shared" si="24"/>
        <v>0</v>
      </c>
      <c r="T118" s="674">
        <f t="shared" si="25"/>
        <v>0</v>
      </c>
      <c r="U118" s="674">
        <f t="shared" si="26"/>
        <v>0</v>
      </c>
      <c r="V118" s="674">
        <f t="shared" si="27"/>
        <v>0</v>
      </c>
      <c r="W118" s="659"/>
      <c r="X118" s="659"/>
      <c r="Y118" s="660"/>
      <c r="Z118" s="660"/>
    </row>
    <row r="119" spans="2:26">
      <c r="B119" s="348" t="s">
        <v>21</v>
      </c>
      <c r="C119" s="349"/>
      <c r="D119" s="349"/>
      <c r="E119" s="716">
        <v>750</v>
      </c>
      <c r="F119" s="291" t="s">
        <v>19</v>
      </c>
      <c r="G119" s="331"/>
      <c r="H119" s="321"/>
      <c r="I119" s="321"/>
      <c r="J119" s="321"/>
      <c r="K119" s="464"/>
      <c r="L119" s="347"/>
      <c r="M119" s="324"/>
      <c r="O119" s="659"/>
      <c r="P119" s="674">
        <f t="shared" si="20"/>
        <v>0</v>
      </c>
      <c r="Q119" s="674">
        <f t="shared" si="22"/>
        <v>0.93885666805825407</v>
      </c>
      <c r="R119" s="674">
        <f t="shared" si="23"/>
        <v>6.1143331941745892E-2</v>
      </c>
      <c r="S119" s="674">
        <f t="shared" si="24"/>
        <v>0</v>
      </c>
      <c r="T119" s="674">
        <f t="shared" si="25"/>
        <v>0</v>
      </c>
      <c r="U119" s="674">
        <f t="shared" si="26"/>
        <v>0</v>
      </c>
      <c r="V119" s="674">
        <f t="shared" si="27"/>
        <v>0</v>
      </c>
      <c r="W119" s="659"/>
      <c r="X119" s="659"/>
      <c r="Y119" s="660"/>
      <c r="Z119" s="660"/>
    </row>
    <row r="120" spans="2:26">
      <c r="B120" s="348" t="s">
        <v>22</v>
      </c>
      <c r="C120" s="349"/>
      <c r="D120" s="349"/>
      <c r="E120" s="716"/>
      <c r="F120" s="291" t="s">
        <v>19</v>
      </c>
      <c r="G120" s="331"/>
      <c r="H120" s="321"/>
      <c r="I120" s="321"/>
      <c r="J120" s="321"/>
      <c r="K120" s="464"/>
      <c r="L120" s="347"/>
      <c r="M120" s="324"/>
      <c r="O120" s="659"/>
      <c r="P120" s="674">
        <f t="shared" si="20"/>
        <v>0</v>
      </c>
      <c r="Q120" s="674">
        <f t="shared" si="22"/>
        <v>0.93885666805825407</v>
      </c>
      <c r="R120" s="674">
        <f t="shared" si="23"/>
        <v>6.1143331941745892E-2</v>
      </c>
      <c r="S120" s="674">
        <f t="shared" si="24"/>
        <v>0</v>
      </c>
      <c r="T120" s="674">
        <f t="shared" si="25"/>
        <v>0</v>
      </c>
      <c r="U120" s="674">
        <f t="shared" si="26"/>
        <v>0</v>
      </c>
      <c r="V120" s="674">
        <f t="shared" si="27"/>
        <v>0</v>
      </c>
      <c r="W120" s="659"/>
      <c r="X120" s="659"/>
      <c r="Y120" s="660"/>
      <c r="Z120" s="660"/>
    </row>
    <row r="121" spans="2:26" ht="12.75" customHeight="1" thickBot="1">
      <c r="B121" s="350" t="s">
        <v>23</v>
      </c>
      <c r="C121" s="351"/>
      <c r="D121" s="351"/>
      <c r="E121" s="199"/>
      <c r="F121" s="337" t="s">
        <v>19</v>
      </c>
      <c r="G121" s="467"/>
      <c r="H121" s="322"/>
      <c r="I121" s="322"/>
      <c r="J121" s="322"/>
      <c r="K121" s="466"/>
      <c r="L121" s="347"/>
      <c r="M121" s="324"/>
      <c r="O121" s="659"/>
      <c r="P121" s="674">
        <f t="shared" si="20"/>
        <v>0</v>
      </c>
      <c r="Q121" s="674">
        <f t="shared" si="22"/>
        <v>0.93885666805825407</v>
      </c>
      <c r="R121" s="674">
        <f t="shared" si="23"/>
        <v>6.1143331941745892E-2</v>
      </c>
      <c r="S121" s="674">
        <f t="shared" si="24"/>
        <v>0</v>
      </c>
      <c r="T121" s="674">
        <f t="shared" si="25"/>
        <v>0</v>
      </c>
      <c r="U121" s="674">
        <f t="shared" si="26"/>
        <v>0</v>
      </c>
      <c r="V121" s="674">
        <f t="shared" si="27"/>
        <v>0</v>
      </c>
      <c r="W121" s="659"/>
      <c r="X121" s="659"/>
      <c r="Y121" s="660"/>
      <c r="Z121" s="660"/>
    </row>
    <row r="122" spans="2:26" ht="43.5" customHeight="1">
      <c r="B122" s="784" t="s">
        <v>116</v>
      </c>
      <c r="C122" s="784"/>
      <c r="D122" s="784"/>
      <c r="E122" s="784"/>
      <c r="F122" s="784"/>
      <c r="G122" s="784"/>
      <c r="H122" s="784"/>
      <c r="I122" s="784"/>
      <c r="J122" s="784"/>
      <c r="K122" s="784"/>
      <c r="L122" s="784"/>
      <c r="M122" s="784"/>
      <c r="N122" s="399"/>
    </row>
    <row r="123" spans="2:26" ht="12.75" customHeight="1">
      <c r="B123" s="409"/>
      <c r="C123" s="409"/>
      <c r="D123" s="409"/>
      <c r="E123" s="409"/>
      <c r="F123" s="409"/>
      <c r="G123" s="409"/>
      <c r="H123" s="409"/>
      <c r="I123" s="409"/>
    </row>
    <row r="124" spans="2:26" ht="12.75" customHeight="1">
      <c r="B124" s="409"/>
      <c r="C124" s="409"/>
      <c r="D124" s="409"/>
      <c r="E124" s="409"/>
      <c r="F124" s="409"/>
      <c r="G124" s="409"/>
      <c r="H124" s="409"/>
      <c r="I124" s="409"/>
    </row>
    <row r="125" spans="2:26">
      <c r="B125" s="409"/>
      <c r="C125" s="409"/>
      <c r="D125" s="409"/>
      <c r="E125" s="409"/>
      <c r="F125" s="409"/>
      <c r="G125" s="409"/>
      <c r="H125" s="409"/>
      <c r="I125" s="409"/>
    </row>
    <row r="126" spans="2:26">
      <c r="B126" s="409"/>
      <c r="C126" s="409"/>
      <c r="D126" s="409"/>
      <c r="E126" s="409"/>
      <c r="F126" s="409"/>
      <c r="G126" s="409"/>
      <c r="H126" s="409"/>
      <c r="I126" s="409"/>
    </row>
  </sheetData>
  <mergeCells count="49">
    <mergeCell ref="B45:B47"/>
    <mergeCell ref="D45:F45"/>
    <mergeCell ref="B52:B54"/>
    <mergeCell ref="B55:B57"/>
    <mergeCell ref="B77:C77"/>
    <mergeCell ref="B72:C72"/>
    <mergeCell ref="B68:C68"/>
    <mergeCell ref="B69:C69"/>
    <mergeCell ref="B70:C70"/>
    <mergeCell ref="B71:C71"/>
    <mergeCell ref="B73:C73"/>
    <mergeCell ref="B35:B37"/>
    <mergeCell ref="B42:B44"/>
    <mergeCell ref="D3:F6"/>
    <mergeCell ref="B3:B16"/>
    <mergeCell ref="B17:B22"/>
    <mergeCell ref="B23:B27"/>
    <mergeCell ref="B32:B34"/>
    <mergeCell ref="Z82:Z83"/>
    <mergeCell ref="X82:X83"/>
    <mergeCell ref="F79:J79"/>
    <mergeCell ref="Y82:Y83"/>
    <mergeCell ref="B81:C81"/>
    <mergeCell ref="B82:C82"/>
    <mergeCell ref="B83:C83"/>
    <mergeCell ref="B122:M122"/>
    <mergeCell ref="H97:L97"/>
    <mergeCell ref="G114:K114"/>
    <mergeCell ref="B107:C107"/>
    <mergeCell ref="B108:C108"/>
    <mergeCell ref="B102:C102"/>
    <mergeCell ref="B103:C103"/>
    <mergeCell ref="B104:C104"/>
    <mergeCell ref="B105:C105"/>
    <mergeCell ref="B106:C106"/>
    <mergeCell ref="B101:C101"/>
    <mergeCell ref="B99:C99"/>
    <mergeCell ref="B84:C84"/>
    <mergeCell ref="B85:C85"/>
    <mergeCell ref="B94:C94"/>
    <mergeCell ref="B95:C95"/>
    <mergeCell ref="B89:C89"/>
    <mergeCell ref="B90:C90"/>
    <mergeCell ref="B91:C91"/>
    <mergeCell ref="B92:C92"/>
    <mergeCell ref="B93:C93"/>
    <mergeCell ref="B86:C86"/>
    <mergeCell ref="B87:C87"/>
    <mergeCell ref="B88:C88"/>
  </mergeCells>
  <dataValidations count="19">
    <dataValidation type="whole" operator="lessThanOrEqual" allowBlank="1" showInputMessage="1" showErrorMessage="1" sqref="G9" xr:uid="{00000000-0002-0000-0100-000000000000}">
      <formula1>O9</formula1>
    </dataValidation>
    <dataValidation type="whole" allowBlank="1" showInputMessage="1" showErrorMessage="1" sqref="G23" xr:uid="{00000000-0002-0000-0100-000001000000}">
      <formula1>0</formula1>
      <formula2>Q8*2</formula2>
    </dataValidation>
    <dataValidation type="whole" allowBlank="1" showInputMessage="1" showErrorMessage="1" sqref="G32" xr:uid="{00000000-0002-0000-0100-000002000000}">
      <formula1>0</formula1>
      <formula2>Q8</formula2>
    </dataValidation>
    <dataValidation type="whole" allowBlank="1" showInputMessage="1" showErrorMessage="1" sqref="G45 G52 G55 G42" xr:uid="{00000000-0002-0000-0100-000003000000}">
      <formula1>0</formula1>
      <formula2>O33</formula2>
    </dataValidation>
    <dataValidation type="whole" allowBlank="1" showInputMessage="1" showErrorMessage="1" sqref="G13" xr:uid="{00000000-0002-0000-0100-000004000000}">
      <formula1>0</formula1>
      <formula2>G7</formula2>
    </dataValidation>
    <dataValidation type="whole" allowBlank="1" showInputMessage="1" showErrorMessage="1" sqref="G35" xr:uid="{00000000-0002-0000-0100-000005000000}">
      <formula1>0</formula1>
      <formula2>Q8-G7-G9+G13</formula2>
    </dataValidation>
    <dataValidation type="whole" allowBlank="1" showInputMessage="1" showErrorMessage="1" sqref="G62" xr:uid="{00000000-0002-0000-0100-000006000000}">
      <formula1>0</formula1>
      <formula2>G5</formula2>
    </dataValidation>
    <dataValidation type="list" allowBlank="1" showInputMessage="1" showErrorMessage="1" sqref="H51 H31 H41 H6 H61" xr:uid="{00000000-0002-0000-0100-000007000000}">
      <formula1>$R$30:$R$31</formula1>
    </dataValidation>
    <dataValidation type="list" allowBlank="1" showInputMessage="1" showErrorMessage="1" sqref="E81:E95" xr:uid="{00000000-0002-0000-0100-000008000000}">
      <formula1>$P$78:$P$79</formula1>
    </dataValidation>
    <dataValidation type="list" allowBlank="1" showInputMessage="1" showErrorMessage="1" sqref="H12" xr:uid="{00000000-0002-0000-0100-000009000000}">
      <formula1>$R$11:$R$12</formula1>
    </dataValidation>
    <dataValidation type="whole" operator="greaterThanOrEqual" allowBlank="1" showInputMessage="1" showErrorMessage="1" sqref="G3 G60 E116:E121 G5 G50 G30 G22 G17:G18 G15 G40 D99:G108" xr:uid="{00000000-0002-0000-0100-00000A000000}">
      <formula1>0</formula1>
    </dataValidation>
    <dataValidation type="decimal" allowBlank="1" showInputMessage="1" showErrorMessage="1" errorTitle="Boundary Warning" error="This value must be from 0 to 100" sqref="G8" xr:uid="{00000000-0002-0000-0100-00000B000000}">
      <formula1>0</formula1>
      <formula2>100</formula2>
    </dataValidation>
    <dataValidation type="decimal" operator="greaterThanOrEqual" allowBlank="1" showInputMessage="1" showErrorMessage="1" sqref="G6 D68:D77 G12 G68:G77 G24:G25 G21 G14 D81:D95" xr:uid="{00000000-0002-0000-0100-00000C000000}">
      <formula1>0</formula1>
    </dataValidation>
    <dataValidation type="decimal" operator="greaterThan" allowBlank="1" showInputMessage="1" showErrorMessage="1" sqref="G11" xr:uid="{00000000-0002-0000-0100-00000D000000}">
      <formula1>10</formula1>
    </dataValidation>
    <dataValidation type="decimal" operator="greaterThanOrEqual" allowBlank="1" showInputMessage="1" showErrorMessage="1" sqref="G16 G64 G57 G54 G47 G44 G37 G34 G26:G27" xr:uid="{00000000-0002-0000-0100-00000E000000}">
      <formula1>10</formula1>
    </dataValidation>
    <dataValidation type="whole" allowBlank="1" showInputMessage="1" showErrorMessage="1" sqref="G19" xr:uid="{00000000-0002-0000-0100-00000F000000}">
      <formula1>0</formula1>
      <formula2>9</formula2>
    </dataValidation>
    <dataValidation type="decimal" allowBlank="1" showInputMessage="1" showErrorMessage="1" sqref="G20 E111:E112 G116:K121 H100:L108 F81:J83 F91:J95" xr:uid="{00000000-0002-0000-0100-000010000000}">
      <formula1>0</formula1>
      <formula2>1</formula2>
    </dataValidation>
    <dataValidation type="decimal" allowBlank="1" showInputMessage="1" showErrorMessage="1" sqref="G31 G61 G51" xr:uid="{00000000-0002-0000-0100-000011000000}">
      <formula1>0</formula1>
      <formula2>100</formula2>
    </dataValidation>
    <dataValidation type="whole" allowBlank="1" showInputMessage="1" showErrorMessage="1" sqref="G41" xr:uid="{00000000-0002-0000-0100-000012000000}">
      <formula1>0</formula1>
      <formula2>100</formula2>
    </dataValidation>
  </dataValidations>
  <printOptions horizontalCentered="1"/>
  <pageMargins left="0.25" right="0.25" top="0.75" bottom="0.75" header="0.3" footer="0.3"/>
  <pageSetup scale="10" fitToHeight="3" orientation="portrait" r:id="rId1"/>
  <rowBreaks count="1" manualBreakCount="1">
    <brk id="78" min="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00B050"/>
    <pageSetUpPr fitToPage="1"/>
  </sheetPr>
  <dimension ref="A1:AQ28"/>
  <sheetViews>
    <sheetView showZeros="0" zoomScaleNormal="100" workbookViewId="0">
      <selection activeCell="A2" sqref="A2"/>
    </sheetView>
  </sheetViews>
  <sheetFormatPr defaultColWidth="9.140625" defaultRowHeight="12.75"/>
  <cols>
    <col min="1" max="1" width="28.42578125" style="152" customWidth="1"/>
    <col min="2" max="2" width="26.7109375" style="152" customWidth="1"/>
    <col min="3" max="3" width="10.5703125" style="152" customWidth="1"/>
    <col min="4" max="4" width="9.85546875" style="152" customWidth="1"/>
    <col min="5" max="5" width="11.42578125" style="152" customWidth="1"/>
    <col min="6" max="6" width="10.5703125" style="152" customWidth="1"/>
    <col min="7" max="7" width="9.140625" style="152"/>
    <col min="8" max="8" width="10.28515625" style="152" customWidth="1"/>
    <col min="9" max="9" width="4.42578125" style="157" customWidth="1"/>
    <col min="10" max="10" width="11" style="222" hidden="1" customWidth="1"/>
    <col min="11" max="11" width="10.5703125" style="222" hidden="1" customWidth="1"/>
    <col min="12" max="12" width="21" style="222" hidden="1" customWidth="1"/>
    <col min="13" max="13" width="10.5703125" style="222" hidden="1" customWidth="1"/>
    <col min="14" max="26" width="9.140625" style="222" hidden="1" customWidth="1"/>
    <col min="27" max="28" width="9.140625" style="222"/>
    <col min="29" max="43" width="9.140625" style="276"/>
    <col min="44" max="16384" width="9.140625" style="40"/>
  </cols>
  <sheetData>
    <row r="1" spans="1:43" ht="39.75" thickBot="1">
      <c r="B1" s="63" t="s">
        <v>141</v>
      </c>
      <c r="C1" s="100" t="str">
        <f>CONCATENATE("(",Inputs!G17," Bulls)")</f>
        <v>(12 Bulls)</v>
      </c>
      <c r="D1" s="100"/>
      <c r="E1" s="100"/>
      <c r="F1" s="100"/>
      <c r="G1" s="100"/>
      <c r="H1" s="100"/>
      <c r="J1" s="416"/>
      <c r="K1" s="416"/>
      <c r="L1" s="417" t="s">
        <v>186</v>
      </c>
      <c r="M1" s="417" t="str">
        <f>IF(Inputs!$B$68=0,"",Inputs!$B$68)</f>
        <v>Creep Feed</v>
      </c>
      <c r="N1" s="417" t="str">
        <f>IF(Inputs!$B$69=0,"",Inputs!$B$69)</f>
        <v xml:space="preserve">Pasture </v>
      </c>
      <c r="O1" s="417" t="str">
        <f>IF(Inputs!B70=0,"",Inputs!B70)</f>
        <v>Prairie Hay</v>
      </c>
      <c r="P1" s="417" t="str">
        <f>IF(Inputs!B71=0,"",Inputs!B71)</f>
        <v>Alfalfa</v>
      </c>
      <c r="Q1" s="417" t="str">
        <f>IF(Inputs!B72=0,"",Inputs!B72)</f>
        <v>DDG Cubes</v>
      </c>
      <c r="R1" s="417" t="str">
        <f>IF(Inputs!B73=0,"",Inputs!B73)</f>
        <v>Salt and Mineral</v>
      </c>
      <c r="S1" s="417" t="str">
        <f>IF(Inputs!B74=0,"",Inputs!B74)</f>
        <v>Silage</v>
      </c>
      <c r="T1" s="417" t="str">
        <f>IF(Inputs!B75=0,"",Inputs!B75)</f>
        <v>Corn</v>
      </c>
      <c r="U1" s="417" t="str">
        <f>IF(Inputs!B76=0,"",Inputs!B76)</f>
        <v>Wet Distiller's Grain</v>
      </c>
      <c r="V1" s="417" t="str">
        <f>IF(Inputs!B77=0,"",Inputs!B77)</f>
        <v>Corn Stalks</v>
      </c>
      <c r="W1" s="419" t="s">
        <v>30</v>
      </c>
      <c r="X1" s="416"/>
      <c r="Y1" s="416"/>
      <c r="Z1" s="416"/>
    </row>
    <row r="2" spans="1:43" ht="27" thickBot="1">
      <c r="B2" s="35" t="s">
        <v>28</v>
      </c>
      <c r="C2" s="108"/>
      <c r="D2" s="109"/>
      <c r="E2" s="109"/>
      <c r="F2" s="109"/>
      <c r="G2" s="109"/>
      <c r="H2" s="113" t="s">
        <v>73</v>
      </c>
      <c r="J2" s="416"/>
      <c r="K2" s="416"/>
      <c r="L2" s="418" t="str">
        <f t="shared" ref="L2:L7" si="0">B14</f>
        <v>Prairie Hay</v>
      </c>
      <c r="M2" s="418">
        <f>IF(M$1=$L2,$J14,0)</f>
        <v>0</v>
      </c>
      <c r="N2" s="418">
        <f t="shared" ref="N2:V2" si="1">IF(N$1=$L2,$J14,0)</f>
        <v>0</v>
      </c>
      <c r="O2" s="418">
        <f t="shared" si="1"/>
        <v>24000</v>
      </c>
      <c r="P2" s="418">
        <f t="shared" si="1"/>
        <v>0</v>
      </c>
      <c r="Q2" s="418">
        <f t="shared" si="1"/>
        <v>0</v>
      </c>
      <c r="R2" s="418">
        <f t="shared" si="1"/>
        <v>0</v>
      </c>
      <c r="S2" s="418">
        <f t="shared" si="1"/>
        <v>0</v>
      </c>
      <c r="T2" s="418">
        <f t="shared" si="1"/>
        <v>0</v>
      </c>
      <c r="U2" s="418">
        <f t="shared" si="1"/>
        <v>0</v>
      </c>
      <c r="V2" s="418">
        <f t="shared" si="1"/>
        <v>0</v>
      </c>
      <c r="W2" s="418">
        <f t="shared" ref="W2:W7" si="2">SUM(M2:V2)</f>
        <v>24000</v>
      </c>
      <c r="X2" s="416"/>
      <c r="Y2" s="416"/>
      <c r="Z2" s="416"/>
    </row>
    <row r="3" spans="1:43">
      <c r="B3" s="71"/>
      <c r="C3" s="36" t="s">
        <v>55</v>
      </c>
      <c r="D3" s="39"/>
      <c r="E3" s="180" t="s">
        <v>29</v>
      </c>
      <c r="F3" s="69" t="s">
        <v>5</v>
      </c>
      <c r="G3" s="49"/>
      <c r="H3" s="89" t="s">
        <v>30</v>
      </c>
      <c r="J3" s="416"/>
      <c r="K3" s="416"/>
      <c r="L3" s="418" t="str">
        <f t="shared" si="0"/>
        <v xml:space="preserve">Pasture </v>
      </c>
      <c r="M3" s="418">
        <f t="shared" ref="M3:V7" si="3">IF(M$1=$L3,$J15,0)</f>
        <v>0</v>
      </c>
      <c r="N3" s="418">
        <f t="shared" si="3"/>
        <v>2160</v>
      </c>
      <c r="O3" s="418">
        <f t="shared" si="3"/>
        <v>0</v>
      </c>
      <c r="P3" s="418">
        <f t="shared" si="3"/>
        <v>0</v>
      </c>
      <c r="Q3" s="418">
        <f t="shared" si="3"/>
        <v>0</v>
      </c>
      <c r="R3" s="418">
        <f t="shared" si="3"/>
        <v>0</v>
      </c>
      <c r="S3" s="418">
        <f t="shared" si="3"/>
        <v>0</v>
      </c>
      <c r="T3" s="418">
        <f t="shared" si="3"/>
        <v>0</v>
      </c>
      <c r="U3" s="418">
        <f t="shared" si="3"/>
        <v>0</v>
      </c>
      <c r="V3" s="418">
        <f t="shared" si="3"/>
        <v>0</v>
      </c>
      <c r="W3" s="418">
        <f t="shared" si="2"/>
        <v>2160</v>
      </c>
      <c r="X3" s="416"/>
      <c r="Y3" s="416"/>
      <c r="Z3" s="416"/>
    </row>
    <row r="4" spans="1:43">
      <c r="B4" s="27" t="s">
        <v>74</v>
      </c>
      <c r="C4" s="111">
        <f>IF(Inputs!G19=0,0,Inputs!G17/Inputs!G19)*(1-Inputs!G20)</f>
        <v>2.3759999999999999</v>
      </c>
      <c r="D4" s="49" t="s">
        <v>65</v>
      </c>
      <c r="E4" s="175">
        <f>Inputs!G22</f>
        <v>1800</v>
      </c>
      <c r="F4" s="175">
        <f>Inputs!G21</f>
        <v>85</v>
      </c>
      <c r="G4" s="49"/>
      <c r="H4" s="576">
        <f>C4*E4*F4/100</f>
        <v>3635.28</v>
      </c>
      <c r="J4" s="416"/>
      <c r="K4" s="416"/>
      <c r="L4" s="418" t="str">
        <f t="shared" si="0"/>
        <v>Salt and Mineral</v>
      </c>
      <c r="M4" s="418">
        <f t="shared" si="3"/>
        <v>0</v>
      </c>
      <c r="N4" s="418">
        <f t="shared" si="3"/>
        <v>0</v>
      </c>
      <c r="O4" s="418">
        <f t="shared" si="3"/>
        <v>0</v>
      </c>
      <c r="P4" s="418">
        <f t="shared" si="3"/>
        <v>0</v>
      </c>
      <c r="Q4" s="418">
        <f t="shared" si="3"/>
        <v>0</v>
      </c>
      <c r="R4" s="418">
        <f t="shared" si="3"/>
        <v>17520</v>
      </c>
      <c r="S4" s="418">
        <f t="shared" si="3"/>
        <v>0</v>
      </c>
      <c r="T4" s="418">
        <f t="shared" si="3"/>
        <v>0</v>
      </c>
      <c r="U4" s="418">
        <f t="shared" si="3"/>
        <v>0</v>
      </c>
      <c r="V4" s="418">
        <f t="shared" si="3"/>
        <v>0</v>
      </c>
      <c r="W4" s="418">
        <f t="shared" si="2"/>
        <v>17520</v>
      </c>
      <c r="X4" s="416"/>
      <c r="Y4" s="416"/>
      <c r="Z4" s="416"/>
    </row>
    <row r="5" spans="1:43" ht="13.5" thickBot="1">
      <c r="B5" s="48"/>
      <c r="C5" s="31"/>
      <c r="D5" s="49"/>
      <c r="E5" s="49"/>
      <c r="F5" s="68"/>
      <c r="G5" s="49"/>
      <c r="H5" s="576"/>
      <c r="J5" s="418"/>
      <c r="K5" s="416"/>
      <c r="L5" s="418" t="str">
        <f t="shared" si="0"/>
        <v>Corn Stalks</v>
      </c>
      <c r="M5" s="418">
        <f t="shared" si="3"/>
        <v>0</v>
      </c>
      <c r="N5" s="418">
        <f t="shared" si="3"/>
        <v>0</v>
      </c>
      <c r="O5" s="418">
        <f t="shared" si="3"/>
        <v>0</v>
      </c>
      <c r="P5" s="418">
        <f t="shared" si="3"/>
        <v>0</v>
      </c>
      <c r="Q5" s="418">
        <f t="shared" si="3"/>
        <v>0</v>
      </c>
      <c r="R5" s="418">
        <f t="shared" si="3"/>
        <v>0</v>
      </c>
      <c r="S5" s="418">
        <f t="shared" si="3"/>
        <v>0</v>
      </c>
      <c r="T5" s="418">
        <f t="shared" si="3"/>
        <v>0</v>
      </c>
      <c r="U5" s="418">
        <f t="shared" si="3"/>
        <v>0</v>
      </c>
      <c r="V5" s="418">
        <f t="shared" si="3"/>
        <v>1080</v>
      </c>
      <c r="W5" s="418">
        <f t="shared" si="2"/>
        <v>1080</v>
      </c>
      <c r="X5" s="416"/>
      <c r="Y5" s="416"/>
      <c r="Z5" s="416"/>
    </row>
    <row r="6" spans="1:43" ht="16.5" thickBot="1">
      <c r="B6" s="66"/>
      <c r="C6" s="42"/>
      <c r="D6" s="42"/>
      <c r="E6" s="38"/>
      <c r="F6" s="60"/>
      <c r="G6" s="21" t="s">
        <v>32</v>
      </c>
      <c r="H6" s="577">
        <f>SUM(H4:H5)</f>
        <v>3635.28</v>
      </c>
      <c r="J6" s="416"/>
      <c r="K6" s="416"/>
      <c r="L6" s="418" t="str">
        <f t="shared" si="0"/>
        <v>Wet Distiller's Grain</v>
      </c>
      <c r="M6" s="418">
        <f t="shared" si="3"/>
        <v>0</v>
      </c>
      <c r="N6" s="418">
        <f t="shared" si="3"/>
        <v>0</v>
      </c>
      <c r="O6" s="418">
        <f t="shared" si="3"/>
        <v>0</v>
      </c>
      <c r="P6" s="418">
        <f t="shared" si="3"/>
        <v>0</v>
      </c>
      <c r="Q6" s="418">
        <f t="shared" si="3"/>
        <v>0</v>
      </c>
      <c r="R6" s="418">
        <f t="shared" si="3"/>
        <v>0</v>
      </c>
      <c r="S6" s="418">
        <f t="shared" si="3"/>
        <v>0</v>
      </c>
      <c r="T6" s="418">
        <f t="shared" si="3"/>
        <v>0</v>
      </c>
      <c r="U6" s="418">
        <f t="shared" si="3"/>
        <v>4200</v>
      </c>
      <c r="V6" s="418">
        <f t="shared" si="3"/>
        <v>0</v>
      </c>
      <c r="W6" s="418">
        <f t="shared" si="2"/>
        <v>4200</v>
      </c>
      <c r="X6" s="416"/>
      <c r="Y6" s="416"/>
      <c r="Z6" s="416"/>
    </row>
    <row r="7" spans="1:43" ht="13.5" thickBot="1">
      <c r="B7" s="64"/>
      <c r="C7" s="43"/>
      <c r="D7" s="43"/>
      <c r="E7" s="43"/>
      <c r="F7" s="43"/>
      <c r="G7" s="43"/>
      <c r="H7" s="490"/>
      <c r="J7" s="416"/>
      <c r="K7" s="416"/>
      <c r="L7" s="418">
        <f t="shared" si="0"/>
        <v>0</v>
      </c>
      <c r="M7" s="418">
        <f t="shared" si="3"/>
        <v>0</v>
      </c>
      <c r="N7" s="418">
        <f t="shared" si="3"/>
        <v>0</v>
      </c>
      <c r="O7" s="418">
        <f t="shared" si="3"/>
        <v>0</v>
      </c>
      <c r="P7" s="418">
        <f t="shared" si="3"/>
        <v>0</v>
      </c>
      <c r="Q7" s="418">
        <f t="shared" si="3"/>
        <v>0</v>
      </c>
      <c r="R7" s="418">
        <f t="shared" si="3"/>
        <v>0</v>
      </c>
      <c r="S7" s="418">
        <f t="shared" si="3"/>
        <v>0</v>
      </c>
      <c r="T7" s="418">
        <f t="shared" si="3"/>
        <v>0</v>
      </c>
      <c r="U7" s="418">
        <f t="shared" si="3"/>
        <v>0</v>
      </c>
      <c r="V7" s="418">
        <f t="shared" si="3"/>
        <v>0</v>
      </c>
      <c r="W7" s="418">
        <f t="shared" si="2"/>
        <v>0</v>
      </c>
      <c r="X7" s="416"/>
      <c r="Y7" s="416"/>
      <c r="Z7" s="416"/>
    </row>
    <row r="8" spans="1:43" ht="27" thickBot="1">
      <c r="B8" s="66" t="s">
        <v>33</v>
      </c>
      <c r="C8" s="108"/>
      <c r="D8" s="109"/>
      <c r="E8" s="109"/>
      <c r="F8" s="109"/>
      <c r="G8" s="109"/>
      <c r="H8" s="578" t="s">
        <v>73</v>
      </c>
      <c r="J8" s="416"/>
      <c r="K8" s="416"/>
      <c r="L8" s="418" t="s">
        <v>30</v>
      </c>
      <c r="M8" s="418">
        <f>SUM(M2:M7)</f>
        <v>0</v>
      </c>
      <c r="N8" s="418">
        <f t="shared" ref="N8:V8" si="4">SUM(N2:N7)</f>
        <v>2160</v>
      </c>
      <c r="O8" s="418">
        <f t="shared" si="4"/>
        <v>24000</v>
      </c>
      <c r="P8" s="418">
        <f t="shared" si="4"/>
        <v>0</v>
      </c>
      <c r="Q8" s="418">
        <f t="shared" si="4"/>
        <v>0</v>
      </c>
      <c r="R8" s="418">
        <f t="shared" si="4"/>
        <v>17520</v>
      </c>
      <c r="S8" s="418">
        <f t="shared" si="4"/>
        <v>0</v>
      </c>
      <c r="T8" s="418">
        <f t="shared" si="4"/>
        <v>0</v>
      </c>
      <c r="U8" s="418">
        <f t="shared" si="4"/>
        <v>4200</v>
      </c>
      <c r="V8" s="418">
        <f t="shared" si="4"/>
        <v>1080</v>
      </c>
      <c r="W8" s="418"/>
      <c r="X8" s="416"/>
      <c r="Y8" s="416"/>
      <c r="Z8" s="416"/>
    </row>
    <row r="9" spans="1:43">
      <c r="B9" s="78" t="s">
        <v>61</v>
      </c>
      <c r="C9" s="36" t="s">
        <v>43</v>
      </c>
      <c r="D9" s="69"/>
      <c r="E9" s="69" t="s">
        <v>5</v>
      </c>
      <c r="F9" s="45"/>
      <c r="G9" s="45"/>
      <c r="H9" s="579" t="s">
        <v>30</v>
      </c>
      <c r="J9" s="416" t="s">
        <v>60</v>
      </c>
      <c r="K9" s="416"/>
      <c r="L9" s="416"/>
      <c r="M9" s="416"/>
      <c r="N9" s="416"/>
      <c r="O9" s="416"/>
      <c r="P9" s="416"/>
      <c r="Q9" s="416"/>
      <c r="R9" s="416"/>
      <c r="S9" s="416"/>
      <c r="T9" s="416"/>
      <c r="U9" s="416"/>
      <c r="V9" s="416"/>
      <c r="W9" s="416"/>
      <c r="X9" s="416"/>
      <c r="Y9" s="416"/>
      <c r="Z9" s="416"/>
    </row>
    <row r="10" spans="1:43">
      <c r="B10" s="48" t="s">
        <v>75</v>
      </c>
      <c r="C10" s="30">
        <f>IF(Inputs!G19=0,0,Inputs!G17/Inputs!G19)</f>
        <v>2.4</v>
      </c>
      <c r="D10" s="112"/>
      <c r="E10" s="176">
        <f>Inputs!G18</f>
        <v>3000</v>
      </c>
      <c r="F10" s="49" t="s">
        <v>4</v>
      </c>
      <c r="G10" s="49"/>
      <c r="H10" s="580">
        <f>C10*E10</f>
        <v>7200</v>
      </c>
      <c r="J10" s="416" t="s">
        <v>63</v>
      </c>
      <c r="K10" s="416"/>
      <c r="L10" s="416"/>
      <c r="M10" s="416"/>
      <c r="N10" s="416"/>
      <c r="O10" s="416"/>
      <c r="P10" s="416"/>
      <c r="Q10" s="416"/>
      <c r="R10" s="416"/>
      <c r="S10" s="416"/>
      <c r="T10" s="416"/>
      <c r="U10" s="416"/>
      <c r="V10" s="416"/>
      <c r="W10" s="416"/>
      <c r="X10" s="416"/>
      <c r="Y10" s="416"/>
      <c r="Z10" s="416"/>
    </row>
    <row r="11" spans="1:43">
      <c r="B11" s="48"/>
      <c r="C11" s="32"/>
      <c r="D11" s="58"/>
      <c r="E11" s="58"/>
      <c r="F11" s="49"/>
      <c r="G11" s="208"/>
      <c r="H11" s="581"/>
      <c r="J11" s="416"/>
      <c r="K11" s="416"/>
      <c r="L11" s="416"/>
      <c r="M11" s="416"/>
      <c r="N11" s="416"/>
      <c r="O11" s="416"/>
      <c r="P11" s="416"/>
      <c r="Q11" s="416"/>
      <c r="R11" s="416"/>
      <c r="S11" s="416"/>
      <c r="T11" s="416"/>
      <c r="U11" s="416"/>
      <c r="V11" s="416"/>
      <c r="W11" s="416"/>
      <c r="X11" s="416"/>
      <c r="Y11" s="416"/>
      <c r="Z11" s="416"/>
    </row>
    <row r="12" spans="1:43" s="61" customFormat="1" ht="12.75" customHeight="1">
      <c r="A12" s="152"/>
      <c r="B12" s="48"/>
      <c r="C12" s="820" t="s">
        <v>152</v>
      </c>
      <c r="D12" s="107"/>
      <c r="E12" s="822" t="s">
        <v>153</v>
      </c>
      <c r="F12" s="49"/>
      <c r="G12" s="208"/>
      <c r="H12" s="581"/>
      <c r="I12" s="157"/>
      <c r="J12" s="418"/>
      <c r="K12" s="823"/>
      <c r="L12" s="823"/>
      <c r="M12" s="823"/>
      <c r="N12" s="416"/>
      <c r="O12" s="460"/>
      <c r="P12" s="460"/>
      <c r="Q12" s="416"/>
      <c r="R12" s="418"/>
      <c r="S12" s="460"/>
      <c r="T12" s="460"/>
      <c r="U12" s="460"/>
      <c r="V12" s="460"/>
      <c r="W12" s="460"/>
      <c r="X12" s="460"/>
      <c r="Y12" s="460"/>
      <c r="Z12" s="416"/>
      <c r="AA12" s="222"/>
      <c r="AB12" s="222"/>
      <c r="AC12" s="276"/>
      <c r="AD12" s="276"/>
      <c r="AE12" s="276"/>
      <c r="AF12" s="276"/>
      <c r="AG12" s="276"/>
      <c r="AH12" s="276"/>
      <c r="AI12" s="276"/>
      <c r="AJ12" s="276"/>
      <c r="AK12" s="276"/>
      <c r="AL12" s="276"/>
      <c r="AM12" s="276"/>
      <c r="AN12" s="276"/>
      <c r="AO12" s="276"/>
      <c r="AP12" s="276"/>
      <c r="AQ12" s="276"/>
    </row>
    <row r="13" spans="1:43" s="61" customFormat="1" ht="14.25" customHeight="1">
      <c r="A13" s="152"/>
      <c r="B13" s="79" t="s">
        <v>83</v>
      </c>
      <c r="C13" s="821"/>
      <c r="D13" s="107"/>
      <c r="E13" s="822"/>
      <c r="F13" s="824" t="s">
        <v>5</v>
      </c>
      <c r="G13" s="824"/>
      <c r="H13" s="582" t="s">
        <v>30</v>
      </c>
      <c r="I13" s="157"/>
      <c r="J13" s="429"/>
      <c r="K13" s="459"/>
      <c r="L13" s="459"/>
      <c r="M13" s="459"/>
      <c r="N13" s="468"/>
      <c r="O13" s="460"/>
      <c r="P13" s="460"/>
      <c r="Q13" s="416"/>
      <c r="R13" s="416"/>
      <c r="S13" s="460"/>
      <c r="T13" s="460"/>
      <c r="U13" s="460"/>
      <c r="V13" s="460"/>
      <c r="W13" s="460"/>
      <c r="X13" s="460"/>
      <c r="Y13" s="460"/>
      <c r="Z13" s="416"/>
      <c r="AA13" s="222"/>
      <c r="AB13" s="222"/>
      <c r="AC13" s="276"/>
      <c r="AD13" s="276"/>
      <c r="AE13" s="276"/>
      <c r="AF13" s="276"/>
      <c r="AG13" s="276"/>
      <c r="AH13" s="276"/>
      <c r="AI13" s="276"/>
      <c r="AJ13" s="276"/>
      <c r="AK13" s="276"/>
      <c r="AL13" s="276"/>
      <c r="AM13" s="276"/>
      <c r="AN13" s="276"/>
      <c r="AO13" s="276"/>
      <c r="AP13" s="276"/>
      <c r="AQ13" s="276"/>
    </row>
    <row r="14" spans="1:43" ht="12.75" customHeight="1">
      <c r="B14" s="718" t="s">
        <v>248</v>
      </c>
      <c r="C14" s="717">
        <v>2000</v>
      </c>
      <c r="D14" s="86" t="str">
        <f t="shared" ref="D14:D19" si="5">IF(B14="","",CONCATENATE(VLOOKUP(B14,Feed,5,FALSE)))</f>
        <v>lbs</v>
      </c>
      <c r="E14" s="218" t="s">
        <v>60</v>
      </c>
      <c r="F14" s="818" t="str">
        <f t="shared" ref="F14:F19" si="6">IF(B14="","",CONCATENATE("@ ",TEXT(VLOOKUP($B14,Feed,7,FALSE),"0.00")," per ",VLOOKUP(B14,Feed,5,FALSE)))</f>
        <v>@ 0.07 per lbs</v>
      </c>
      <c r="G14" s="819"/>
      <c r="H14" s="576">
        <f>IF(B14=0,"",IF(E14="","",C14*VLOOKUP(B14,Feed,7,FALSE)*IF(E14="total",1,Inputs!$G$17)))</f>
        <v>1560</v>
      </c>
      <c r="J14" s="416">
        <f>C14*IF(E14="total",1,IF(E14="per animal",Inputs!$G$17,0))</f>
        <v>24000</v>
      </c>
      <c r="K14" s="469"/>
      <c r="L14" s="416"/>
      <c r="M14" s="418"/>
      <c r="N14" s="418"/>
      <c r="O14" s="418"/>
      <c r="P14" s="461"/>
      <c r="Q14" s="416"/>
      <c r="R14" s="418"/>
      <c r="S14" s="416"/>
      <c r="T14" s="416"/>
      <c r="U14" s="416"/>
      <c r="V14" s="416"/>
      <c r="W14" s="416"/>
      <c r="X14" s="416"/>
      <c r="Y14" s="416"/>
      <c r="Z14" s="416"/>
    </row>
    <row r="15" spans="1:43" ht="14.25" customHeight="1">
      <c r="B15" s="718" t="s">
        <v>270</v>
      </c>
      <c r="C15" s="717">
        <v>180</v>
      </c>
      <c r="D15" s="277" t="str">
        <f t="shared" si="5"/>
        <v>day</v>
      </c>
      <c r="E15" s="218" t="s">
        <v>60</v>
      </c>
      <c r="F15" s="818" t="str">
        <f t="shared" si="6"/>
        <v>@ 1.67 per day</v>
      </c>
      <c r="G15" s="819"/>
      <c r="H15" s="576">
        <f>IF(B15=0,"",IF(E15="","",C15*VLOOKUP(B15,Feed,7,FALSE)*IF(E15="total",1,Inputs!$G$17)))</f>
        <v>3600</v>
      </c>
      <c r="J15" s="416">
        <f>C15*IF(E15="total",1,IF(E15="per animal",Inputs!$G$17,0))</f>
        <v>2160</v>
      </c>
      <c r="K15" s="469"/>
      <c r="L15" s="416"/>
      <c r="M15" s="418"/>
      <c r="N15" s="418"/>
      <c r="O15" s="418"/>
      <c r="P15" s="461"/>
      <c r="Q15" s="416"/>
      <c r="R15" s="418"/>
      <c r="S15" s="416"/>
      <c r="T15" s="416"/>
      <c r="U15" s="416"/>
      <c r="V15" s="416"/>
      <c r="W15" s="416"/>
      <c r="X15" s="416"/>
      <c r="Y15" s="416"/>
      <c r="Z15" s="416"/>
    </row>
    <row r="16" spans="1:43">
      <c r="B16" s="718" t="s">
        <v>253</v>
      </c>
      <c r="C16" s="717">
        <v>1460</v>
      </c>
      <c r="D16" s="277" t="str">
        <f t="shared" si="5"/>
        <v>ounce</v>
      </c>
      <c r="E16" s="218" t="s">
        <v>60</v>
      </c>
      <c r="F16" s="818" t="str">
        <f t="shared" si="6"/>
        <v>@ 0.03 per ounce</v>
      </c>
      <c r="G16" s="819"/>
      <c r="H16" s="576">
        <f>IF(B16=0,"",IF(E16="","",C16*VLOOKUP(B16,Feed,7,FALSE)*IF(E16="total",1,Inputs!$G$17)))</f>
        <v>492.75</v>
      </c>
      <c r="J16" s="416">
        <f>C16*IF(E16="total",1,IF(E16="per animal",Inputs!$G$17,0))</f>
        <v>17520</v>
      </c>
      <c r="K16" s="469"/>
      <c r="L16" s="416"/>
      <c r="M16" s="430"/>
      <c r="N16" s="418"/>
      <c r="O16" s="430"/>
      <c r="P16" s="461"/>
      <c r="Q16" s="416"/>
      <c r="R16" s="418"/>
      <c r="S16" s="416"/>
      <c r="T16" s="416"/>
      <c r="U16" s="416"/>
      <c r="V16" s="416"/>
      <c r="W16" s="416"/>
      <c r="X16" s="416"/>
      <c r="Y16" s="416"/>
      <c r="Z16" s="416"/>
    </row>
    <row r="17" spans="2:26">
      <c r="B17" s="718" t="s">
        <v>259</v>
      </c>
      <c r="C17" s="717">
        <v>90</v>
      </c>
      <c r="D17" s="277" t="str">
        <f t="shared" si="5"/>
        <v>day</v>
      </c>
      <c r="E17" s="218" t="s">
        <v>60</v>
      </c>
      <c r="F17" s="818" t="str">
        <f t="shared" si="6"/>
        <v>@ 0.50 per day</v>
      </c>
      <c r="G17" s="819"/>
      <c r="H17" s="576">
        <f>IF(B17=0,"",IF(E17="","",C17*VLOOKUP(B17,Feed,7,FALSE)*IF(E17="total",1,Inputs!$G$17)))</f>
        <v>540</v>
      </c>
      <c r="J17" s="416">
        <f>C17*IF(E17="total",1,IF(E17="per animal",Inputs!$G$17,0))</f>
        <v>1080</v>
      </c>
      <c r="K17" s="469"/>
      <c r="L17" s="416"/>
      <c r="M17" s="418"/>
      <c r="N17" s="418"/>
      <c r="O17" s="418"/>
      <c r="P17" s="461"/>
      <c r="Q17" s="416"/>
      <c r="R17" s="418"/>
      <c r="S17" s="416"/>
      <c r="T17" s="416"/>
      <c r="U17" s="416"/>
      <c r="V17" s="416"/>
      <c r="W17" s="416"/>
      <c r="X17" s="416"/>
      <c r="Y17" s="416"/>
      <c r="Z17" s="416"/>
    </row>
    <row r="18" spans="2:26">
      <c r="B18" s="204" t="s">
        <v>269</v>
      </c>
      <c r="C18" s="203">
        <v>350</v>
      </c>
      <c r="D18" s="277" t="str">
        <f t="shared" si="5"/>
        <v>lbs</v>
      </c>
      <c r="E18" s="218" t="s">
        <v>60</v>
      </c>
      <c r="F18" s="818" t="str">
        <f t="shared" si="6"/>
        <v>@ 0.05 per lbs</v>
      </c>
      <c r="G18" s="819"/>
      <c r="H18" s="576">
        <f>IF(B18=0,"",IF(E18="","",C18*VLOOKUP(B18,Feed,7,FALSE)*IF(E18="total",1,Inputs!$G$17)))</f>
        <v>210</v>
      </c>
      <c r="J18" s="416">
        <f>C18*IF(E18="total",1,IF(E18="per animal",Inputs!$G$17,0))</f>
        <v>4200</v>
      </c>
      <c r="K18" s="469"/>
      <c r="L18" s="416"/>
      <c r="M18" s="418"/>
      <c r="N18" s="418"/>
      <c r="O18" s="418"/>
      <c r="P18" s="461"/>
      <c r="Q18" s="416"/>
      <c r="R18" s="418"/>
      <c r="S18" s="416"/>
      <c r="T18" s="416"/>
      <c r="U18" s="416"/>
      <c r="V18" s="416"/>
      <c r="W18" s="416"/>
      <c r="X18" s="416"/>
      <c r="Y18" s="416"/>
      <c r="Z18" s="416"/>
    </row>
    <row r="19" spans="2:26" ht="13.5" thickBot="1">
      <c r="B19" s="204"/>
      <c r="C19" s="203"/>
      <c r="D19" s="277" t="str">
        <f t="shared" si="5"/>
        <v/>
      </c>
      <c r="E19" s="218"/>
      <c r="F19" s="818" t="str">
        <f t="shared" si="6"/>
        <v/>
      </c>
      <c r="G19" s="819"/>
      <c r="H19" s="583" t="str">
        <f>IF(B19=0,"",IF(E19="","",C19*VLOOKUP(B19,Feed,7,FALSE)*IF(E19="total",1,Inputs!$G$17)))</f>
        <v/>
      </c>
      <c r="J19" s="416">
        <f>C19*IF(E19="total",1,IF(E19="per animal",Inputs!$G$17,0))</f>
        <v>0</v>
      </c>
      <c r="K19" s="469"/>
      <c r="L19" s="416"/>
      <c r="M19" s="418"/>
      <c r="N19" s="418"/>
      <c r="O19" s="418"/>
      <c r="P19" s="461"/>
      <c r="Q19" s="416"/>
      <c r="R19" s="418"/>
      <c r="S19" s="416"/>
      <c r="T19" s="416"/>
      <c r="U19" s="416"/>
      <c r="V19" s="416"/>
      <c r="W19" s="416"/>
      <c r="X19" s="416"/>
      <c r="Y19" s="416"/>
      <c r="Z19" s="416"/>
    </row>
    <row r="20" spans="2:26" ht="13.5" thickTop="1">
      <c r="B20" s="48"/>
      <c r="C20" s="75"/>
      <c r="D20" s="49"/>
      <c r="E20" s="49"/>
      <c r="F20" s="68"/>
      <c r="G20" s="240" t="s">
        <v>35</v>
      </c>
      <c r="H20" s="584">
        <f>SUM(H14:H19)</f>
        <v>6402.75</v>
      </c>
      <c r="J20" s="416"/>
      <c r="K20" s="416"/>
      <c r="L20" s="416"/>
      <c r="M20" s="416"/>
      <c r="N20" s="418"/>
      <c r="O20" s="416"/>
      <c r="P20" s="416"/>
      <c r="Q20" s="416"/>
      <c r="R20" s="418"/>
      <c r="S20" s="416"/>
      <c r="T20" s="416"/>
      <c r="U20" s="416"/>
      <c r="V20" s="416"/>
      <c r="W20" s="416"/>
      <c r="X20" s="416"/>
      <c r="Y20" s="416"/>
      <c r="Z20" s="416"/>
    </row>
    <row r="21" spans="2:26">
      <c r="B21" s="48"/>
      <c r="C21" s="31"/>
      <c r="D21" s="49"/>
      <c r="E21" s="55"/>
      <c r="F21" s="49"/>
      <c r="G21" s="250"/>
      <c r="H21" s="581"/>
      <c r="J21" s="416"/>
      <c r="K21" s="416"/>
      <c r="L21" s="416"/>
      <c r="M21" s="416"/>
      <c r="N21" s="418"/>
      <c r="O21" s="416"/>
      <c r="P21" s="416"/>
      <c r="Q21" s="416"/>
      <c r="R21" s="418"/>
      <c r="S21" s="416"/>
      <c r="T21" s="416"/>
      <c r="U21" s="416"/>
      <c r="V21" s="416"/>
      <c r="W21" s="416"/>
      <c r="X21" s="416"/>
      <c r="Y21" s="418"/>
      <c r="Z21" s="416"/>
    </row>
    <row r="22" spans="2:26" ht="14.25" customHeight="1">
      <c r="B22" s="79" t="s">
        <v>64</v>
      </c>
      <c r="C22" s="31"/>
      <c r="D22" s="49"/>
      <c r="E22" s="83" t="s">
        <v>47</v>
      </c>
      <c r="F22" s="49"/>
      <c r="G22" s="39"/>
      <c r="H22" s="585" t="s">
        <v>30</v>
      </c>
      <c r="J22" s="416"/>
      <c r="K22" s="416"/>
      <c r="L22" s="416"/>
      <c r="M22" s="416"/>
      <c r="N22" s="418"/>
      <c r="O22" s="416"/>
      <c r="P22" s="416"/>
      <c r="Q22" s="416"/>
      <c r="R22" s="418"/>
      <c r="S22" s="416"/>
      <c r="T22" s="416"/>
      <c r="U22" s="416"/>
      <c r="V22" s="416"/>
      <c r="W22" s="416"/>
      <c r="X22" s="416"/>
      <c r="Y22" s="418"/>
      <c r="Z22" s="416"/>
    </row>
    <row r="23" spans="2:26">
      <c r="B23" s="239" t="s">
        <v>81</v>
      </c>
      <c r="C23" s="31"/>
      <c r="D23" s="174">
        <f>Inputs!X85</f>
        <v>30</v>
      </c>
      <c r="E23" s="80" t="str">
        <f>Inputs!E85</f>
        <v>per animal</v>
      </c>
      <c r="F23" s="49"/>
      <c r="G23" s="49"/>
      <c r="H23" s="576">
        <f>Inputs!Z85</f>
        <v>71.28</v>
      </c>
      <c r="J23" s="416"/>
      <c r="K23" s="416"/>
      <c r="L23" s="416"/>
      <c r="M23" s="416"/>
      <c r="N23" s="418"/>
      <c r="O23" s="416"/>
      <c r="P23" s="416"/>
      <c r="Q23" s="416"/>
      <c r="R23" s="416"/>
      <c r="S23" s="416"/>
      <c r="T23" s="416"/>
      <c r="U23" s="416"/>
      <c r="V23" s="416"/>
      <c r="W23" s="416"/>
      <c r="X23" s="416"/>
      <c r="Y23" s="418"/>
      <c r="Z23" s="416"/>
    </row>
    <row r="24" spans="2:26" ht="27.75" customHeight="1" thickBot="1">
      <c r="B24" s="170" t="s">
        <v>36</v>
      </c>
      <c r="C24" s="815" t="s">
        <v>118</v>
      </c>
      <c r="D24" s="816"/>
      <c r="E24" s="816"/>
      <c r="F24" s="816"/>
      <c r="G24" s="817"/>
      <c r="H24" s="586">
        <f>((H20*Inputs!$E$111/2))</f>
        <v>192.08249999999998</v>
      </c>
      <c r="J24" s="416"/>
      <c r="K24" s="416"/>
      <c r="L24" s="416"/>
      <c r="M24" s="416"/>
      <c r="N24" s="418"/>
      <c r="O24" s="416"/>
      <c r="P24" s="416"/>
      <c r="Q24" s="416"/>
      <c r="R24" s="416"/>
      <c r="S24" s="416"/>
      <c r="T24" s="416"/>
      <c r="U24" s="416"/>
      <c r="V24" s="416"/>
      <c r="W24" s="416"/>
      <c r="X24" s="416"/>
      <c r="Y24" s="416"/>
      <c r="Z24" s="416"/>
    </row>
    <row r="25" spans="2:26" ht="14.25" thickTop="1" thickBot="1">
      <c r="B25" s="51"/>
      <c r="C25" s="34"/>
      <c r="D25" s="52"/>
      <c r="E25" s="52"/>
      <c r="F25" s="87"/>
      <c r="G25" s="257" t="s">
        <v>144</v>
      </c>
      <c r="H25" s="587">
        <f>SUM(H23:H24)</f>
        <v>263.36249999999995</v>
      </c>
      <c r="J25" s="416"/>
      <c r="K25" s="416"/>
      <c r="L25" s="416"/>
      <c r="M25" s="416"/>
      <c r="N25" s="416"/>
      <c r="O25" s="416"/>
      <c r="P25" s="416"/>
      <c r="Q25" s="416"/>
      <c r="R25" s="416"/>
      <c r="S25" s="416"/>
      <c r="T25" s="416"/>
      <c r="U25" s="416"/>
      <c r="V25" s="416"/>
      <c r="W25" s="416"/>
      <c r="X25" s="416"/>
      <c r="Y25" s="416"/>
      <c r="Z25" s="416"/>
    </row>
    <row r="26" spans="2:26" ht="16.5" thickBot="1">
      <c r="B26" s="66"/>
      <c r="C26" s="38"/>
      <c r="D26" s="38"/>
      <c r="E26" s="38"/>
      <c r="F26" s="38"/>
      <c r="G26" s="246" t="s">
        <v>37</v>
      </c>
      <c r="H26" s="577">
        <f>SUM(H10:H10)+H20+H25</f>
        <v>13866.112499999999</v>
      </c>
      <c r="J26" s="416"/>
      <c r="K26" s="416"/>
      <c r="L26" s="416"/>
      <c r="M26" s="416"/>
      <c r="N26" s="416"/>
      <c r="O26" s="416"/>
      <c r="P26" s="416"/>
      <c r="Q26" s="416"/>
      <c r="R26" s="416"/>
      <c r="S26" s="416"/>
      <c r="T26" s="416"/>
      <c r="U26" s="416"/>
      <c r="V26" s="416"/>
      <c r="W26" s="416"/>
      <c r="X26" s="416"/>
      <c r="Y26" s="416"/>
      <c r="Z26" s="416"/>
    </row>
    <row r="27" spans="2:26" ht="13.5" thickBot="1">
      <c r="B27" s="49"/>
      <c r="C27" s="49"/>
      <c r="D27" s="49"/>
      <c r="E27" s="49"/>
      <c r="F27" s="58"/>
      <c r="G27" s="58"/>
      <c r="H27" s="588"/>
      <c r="J27" s="416"/>
      <c r="K27" s="416"/>
      <c r="L27" s="416"/>
      <c r="M27" s="416"/>
      <c r="N27" s="416"/>
      <c r="O27" s="416"/>
      <c r="P27" s="416"/>
      <c r="Q27" s="416"/>
      <c r="R27" s="416"/>
      <c r="S27" s="416"/>
      <c r="T27" s="416"/>
      <c r="U27" s="416"/>
      <c r="V27" s="416"/>
      <c r="W27" s="416"/>
      <c r="X27" s="416"/>
      <c r="Y27" s="416"/>
      <c r="Z27" s="416"/>
    </row>
    <row r="28" spans="2:26" ht="16.5" thickBot="1">
      <c r="B28" s="66"/>
      <c r="C28" s="67"/>
      <c r="D28" s="67"/>
      <c r="E28" s="67"/>
      <c r="F28" s="67"/>
      <c r="G28" s="21" t="s">
        <v>66</v>
      </c>
      <c r="H28" s="577">
        <f>H26-H6</f>
        <v>10230.832499999999</v>
      </c>
      <c r="J28" s="416"/>
      <c r="K28" s="416"/>
      <c r="L28" s="416"/>
      <c r="M28" s="416"/>
      <c r="N28" s="416"/>
      <c r="O28" s="416"/>
      <c r="P28" s="416"/>
      <c r="Q28" s="416"/>
      <c r="R28" s="416"/>
      <c r="S28" s="416"/>
      <c r="T28" s="416"/>
      <c r="U28" s="416"/>
      <c r="V28" s="416"/>
      <c r="W28" s="416"/>
      <c r="X28" s="416"/>
      <c r="Y28" s="416"/>
      <c r="Z28" s="416"/>
    </row>
  </sheetData>
  <sheetProtection sheet="1" objects="1" scenarios="1"/>
  <mergeCells count="11">
    <mergeCell ref="C24:G24"/>
    <mergeCell ref="F15:G15"/>
    <mergeCell ref="C12:C13"/>
    <mergeCell ref="E12:E13"/>
    <mergeCell ref="K12:M12"/>
    <mergeCell ref="F13:G13"/>
    <mergeCell ref="F14:G14"/>
    <mergeCell ref="F16:G16"/>
    <mergeCell ref="F17:G17"/>
    <mergeCell ref="F18:G18"/>
    <mergeCell ref="F19:G19"/>
  </mergeCells>
  <dataValidations count="3">
    <dataValidation type="list" allowBlank="1" showInputMessage="1" showErrorMessage="1" sqref="E14:E19" xr:uid="{00000000-0002-0000-0200-000000000000}">
      <formula1>$J$9:$J$11</formula1>
    </dataValidation>
    <dataValidation type="list" allowBlank="1" showInputMessage="1" showErrorMessage="1" sqref="B14:B19" xr:uid="{00000000-0002-0000-0200-000001000000}">
      <formula1>$M$1:$V$1</formula1>
    </dataValidation>
    <dataValidation type="decimal" operator="greaterThanOrEqual" allowBlank="1" showInputMessage="1" showErrorMessage="1" sqref="C14:C19" xr:uid="{00000000-0002-0000-0200-000002000000}">
      <formula1>0</formula1>
    </dataValidation>
  </dataValidations>
  <printOptions horizontalCentered="1"/>
  <pageMargins left="0.2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00B050"/>
    <pageSetUpPr fitToPage="1"/>
  </sheetPr>
  <dimension ref="A1:AO225"/>
  <sheetViews>
    <sheetView zoomScaleNormal="100" workbookViewId="0">
      <selection activeCell="A2" sqref="A2"/>
    </sheetView>
  </sheetViews>
  <sheetFormatPr defaultColWidth="9.140625" defaultRowHeight="12.75"/>
  <cols>
    <col min="1" max="1" width="43.28515625" style="152" customWidth="1"/>
    <col min="2" max="2" width="26.7109375" style="152" customWidth="1"/>
    <col min="3" max="3" width="10.5703125" style="152" customWidth="1"/>
    <col min="4" max="4" width="7.42578125" style="152" customWidth="1"/>
    <col min="5" max="5" width="11.42578125" style="152" customWidth="1"/>
    <col min="6" max="6" width="10.5703125" style="152" customWidth="1"/>
    <col min="7" max="7" width="9.140625" style="152"/>
    <col min="8" max="8" width="10.28515625" style="152" customWidth="1"/>
    <col min="9" max="9" width="4.42578125" style="157" customWidth="1"/>
    <col min="10" max="10" width="10.28515625" style="222" hidden="1" customWidth="1"/>
    <col min="11" max="11" width="10.5703125" style="222" hidden="1" customWidth="1"/>
    <col min="12" max="12" width="21" style="222" hidden="1" customWidth="1"/>
    <col min="13" max="13" width="10.5703125" style="222" hidden="1" customWidth="1"/>
    <col min="14" max="23" width="0" style="222" hidden="1" customWidth="1"/>
    <col min="24" max="25" width="9.140625" style="222"/>
    <col min="26" max="41" width="9.140625" style="276"/>
    <col min="42" max="16384" width="9.140625" style="40"/>
  </cols>
  <sheetData>
    <row r="1" spans="1:41" ht="39.75" thickBot="1">
      <c r="B1" s="63" t="s">
        <v>142</v>
      </c>
      <c r="C1" s="40"/>
      <c r="D1" s="191">
        <f>Inputs!G5+Inputs!O6-Inputs!G13+Inputs!G9</f>
        <v>17</v>
      </c>
      <c r="E1" s="100" t="s">
        <v>137</v>
      </c>
      <c r="F1" s="100"/>
      <c r="G1" s="100"/>
      <c r="H1" s="100"/>
      <c r="J1" s="222" t="s">
        <v>60</v>
      </c>
      <c r="L1" s="417" t="s">
        <v>186</v>
      </c>
      <c r="M1" s="417" t="str">
        <f>IF(Inputs!$B$68=0,"",Inputs!$B$68)</f>
        <v>Creep Feed</v>
      </c>
      <c r="N1" s="417" t="str">
        <f>IF(Inputs!$B$69=0,"",Inputs!$B$69)</f>
        <v xml:space="preserve">Pasture </v>
      </c>
      <c r="O1" s="417" t="str">
        <f>IF(Inputs!B70=0,"",Inputs!B70)</f>
        <v>Prairie Hay</v>
      </c>
      <c r="P1" s="417" t="str">
        <f>IF(Inputs!B71=0,"",Inputs!B71)</f>
        <v>Alfalfa</v>
      </c>
      <c r="Q1" s="417" t="str">
        <f>IF(Inputs!B72=0,"",Inputs!B72)</f>
        <v>DDG Cubes</v>
      </c>
      <c r="R1" s="417" t="str">
        <f>IF(Inputs!B73=0,"",Inputs!B73)</f>
        <v>Salt and Mineral</v>
      </c>
      <c r="S1" s="417" t="str">
        <f>IF(Inputs!B74=0,"",Inputs!B74)</f>
        <v>Silage</v>
      </c>
      <c r="T1" s="417" t="str">
        <f>IF(Inputs!B75=0,"",Inputs!B75)</f>
        <v>Corn</v>
      </c>
      <c r="U1" s="417" t="str">
        <f>IF(Inputs!B76=0,"",Inputs!B76)</f>
        <v>Wet Distiller's Grain</v>
      </c>
      <c r="V1" s="417" t="str">
        <f>IF(Inputs!B77=0,"",Inputs!B77)</f>
        <v>Corn Stalks</v>
      </c>
      <c r="W1" s="419" t="s">
        <v>30</v>
      </c>
      <c r="Z1" s="221"/>
    </row>
    <row r="2" spans="1:41" ht="27" thickBot="1">
      <c r="B2" s="66" t="s">
        <v>125</v>
      </c>
      <c r="C2" s="108"/>
      <c r="D2" s="109"/>
      <c r="E2" s="109"/>
      <c r="F2" s="109"/>
      <c r="G2" s="109"/>
      <c r="H2" s="113" t="s">
        <v>73</v>
      </c>
      <c r="J2" s="222" t="s">
        <v>63</v>
      </c>
      <c r="L2" s="418" t="str">
        <f t="shared" ref="L2:L7" si="0">B5</f>
        <v xml:space="preserve">Pasture </v>
      </c>
      <c r="M2" s="418">
        <f>IF(M$1=$L2,$J5,0)</f>
        <v>0</v>
      </c>
      <c r="N2" s="418">
        <f t="shared" ref="N2:V2" si="1">IF(N$1=$L2,$J5,0)</f>
        <v>2550</v>
      </c>
      <c r="O2" s="418">
        <f t="shared" si="1"/>
        <v>0</v>
      </c>
      <c r="P2" s="418">
        <f t="shared" si="1"/>
        <v>0</v>
      </c>
      <c r="Q2" s="418">
        <f t="shared" si="1"/>
        <v>0</v>
      </c>
      <c r="R2" s="418">
        <f t="shared" si="1"/>
        <v>0</v>
      </c>
      <c r="S2" s="418">
        <f t="shared" si="1"/>
        <v>0</v>
      </c>
      <c r="T2" s="418">
        <f t="shared" si="1"/>
        <v>0</v>
      </c>
      <c r="U2" s="418">
        <f t="shared" si="1"/>
        <v>0</v>
      </c>
      <c r="V2" s="418">
        <f t="shared" si="1"/>
        <v>0</v>
      </c>
      <c r="W2" s="418">
        <f t="shared" ref="W2:W7" si="2">SUM(M2:V2)</f>
        <v>2550</v>
      </c>
      <c r="Z2" s="221"/>
    </row>
    <row r="3" spans="1:41" s="61" customFormat="1" ht="12.75" customHeight="1">
      <c r="A3" s="152"/>
      <c r="B3" s="48"/>
      <c r="C3" s="820" t="s">
        <v>152</v>
      </c>
      <c r="D3" s="107"/>
      <c r="E3" s="822" t="s">
        <v>153</v>
      </c>
      <c r="F3" s="49"/>
      <c r="G3" s="49"/>
      <c r="H3" s="114"/>
      <c r="I3" s="157"/>
      <c r="J3" s="222"/>
      <c r="K3" s="162"/>
      <c r="L3" s="418" t="str">
        <f t="shared" si="0"/>
        <v>Corn Stalks</v>
      </c>
      <c r="M3" s="418">
        <f t="shared" ref="M3:V7" si="3">IF(M$1=$L3,$J6,0)</f>
        <v>0</v>
      </c>
      <c r="N3" s="418">
        <f t="shared" si="3"/>
        <v>0</v>
      </c>
      <c r="O3" s="418">
        <f t="shared" si="3"/>
        <v>0</v>
      </c>
      <c r="P3" s="418">
        <f t="shared" si="3"/>
        <v>0</v>
      </c>
      <c r="Q3" s="418">
        <f t="shared" si="3"/>
        <v>0</v>
      </c>
      <c r="R3" s="418">
        <f t="shared" si="3"/>
        <v>0</v>
      </c>
      <c r="S3" s="418">
        <f t="shared" si="3"/>
        <v>0</v>
      </c>
      <c r="T3" s="418">
        <f t="shared" si="3"/>
        <v>0</v>
      </c>
      <c r="U3" s="418">
        <f t="shared" si="3"/>
        <v>0</v>
      </c>
      <c r="V3" s="418">
        <f t="shared" si="3"/>
        <v>2040</v>
      </c>
      <c r="W3" s="418">
        <f t="shared" si="2"/>
        <v>2040</v>
      </c>
      <c r="X3" s="161">
        <v>1</v>
      </c>
      <c r="Y3" s="161"/>
      <c r="Z3" s="221"/>
      <c r="AA3" s="276"/>
      <c r="AB3" s="276"/>
      <c r="AC3" s="276"/>
      <c r="AD3" s="276"/>
      <c r="AE3" s="276"/>
      <c r="AF3" s="276"/>
      <c r="AG3" s="276"/>
      <c r="AH3" s="276"/>
      <c r="AI3" s="276"/>
      <c r="AJ3" s="276"/>
      <c r="AK3" s="276"/>
      <c r="AL3" s="276"/>
      <c r="AM3" s="276"/>
      <c r="AN3" s="276"/>
      <c r="AO3" s="276"/>
    </row>
    <row r="4" spans="1:41" s="61" customFormat="1" ht="14.25" customHeight="1">
      <c r="A4" s="152"/>
      <c r="B4" s="79"/>
      <c r="C4" s="821"/>
      <c r="D4" s="107"/>
      <c r="E4" s="822"/>
      <c r="F4" s="824" t="s">
        <v>5</v>
      </c>
      <c r="G4" s="824"/>
      <c r="H4" s="115"/>
      <c r="I4" s="157"/>
      <c r="J4" s="159"/>
      <c r="K4" s="410"/>
      <c r="L4" s="418" t="str">
        <f t="shared" si="0"/>
        <v>Prairie Hay</v>
      </c>
      <c r="M4" s="418">
        <f t="shared" si="3"/>
        <v>0</v>
      </c>
      <c r="N4" s="418">
        <f t="shared" si="3"/>
        <v>0</v>
      </c>
      <c r="O4" s="418">
        <f t="shared" si="3"/>
        <v>45900</v>
      </c>
      <c r="P4" s="418">
        <f t="shared" si="3"/>
        <v>0</v>
      </c>
      <c r="Q4" s="418">
        <f t="shared" si="3"/>
        <v>0</v>
      </c>
      <c r="R4" s="418">
        <f t="shared" si="3"/>
        <v>0</v>
      </c>
      <c r="S4" s="418">
        <f t="shared" si="3"/>
        <v>0</v>
      </c>
      <c r="T4" s="418">
        <f t="shared" si="3"/>
        <v>0</v>
      </c>
      <c r="U4" s="418">
        <f t="shared" si="3"/>
        <v>0</v>
      </c>
      <c r="V4" s="418">
        <f t="shared" si="3"/>
        <v>0</v>
      </c>
      <c r="W4" s="418">
        <f t="shared" si="2"/>
        <v>45900</v>
      </c>
      <c r="X4" s="161"/>
      <c r="Y4" s="161"/>
      <c r="Z4" s="221"/>
      <c r="AA4" s="276"/>
      <c r="AB4" s="276"/>
      <c r="AC4" s="276"/>
      <c r="AD4" s="276"/>
      <c r="AE4" s="276"/>
      <c r="AF4" s="276"/>
      <c r="AG4" s="276"/>
      <c r="AH4" s="276"/>
      <c r="AI4" s="276"/>
      <c r="AJ4" s="276"/>
      <c r="AK4" s="276"/>
      <c r="AL4" s="276"/>
      <c r="AM4" s="276"/>
      <c r="AN4" s="276"/>
      <c r="AO4" s="276"/>
    </row>
    <row r="5" spans="1:41" ht="12.75" customHeight="1">
      <c r="B5" s="720" t="s">
        <v>270</v>
      </c>
      <c r="C5" s="719">
        <v>150</v>
      </c>
      <c r="D5" s="86" t="str">
        <f t="shared" ref="D5:D10" si="4">IF(B5="","",CONCATENATE(VLOOKUP(B5,Feed,5,FALSE)))</f>
        <v>day</v>
      </c>
      <c r="E5" s="721" t="s">
        <v>60</v>
      </c>
      <c r="F5" s="818" t="str">
        <f t="shared" ref="F5:F10" si="5">IF(B5="","",CONCATENATE("@ ",TEXT(VLOOKUP($B5,Feed,7,FALSE),"0.00")," per ",VLOOKUP(B5,Feed,5,FALSE)))</f>
        <v>@ 1.67 per day</v>
      </c>
      <c r="G5" s="819"/>
      <c r="H5" s="114">
        <f t="shared" ref="H5:H10" si="6">IF($D$1="NA",0,IF(B5=0,"",IF(E5="","",C5*VLOOKUP(B5,Feed,7,FALSE)*IF(E5="total",1,$D$1))))</f>
        <v>4250</v>
      </c>
      <c r="J5" s="222">
        <f t="shared" ref="J5:J10" si="7">C5*IF(E5="total",1,IF(E5="per animal",$D$1,0))</f>
        <v>2550</v>
      </c>
      <c r="K5" s="163"/>
      <c r="L5" s="418" t="str">
        <f t="shared" si="0"/>
        <v>Wet Distiller's Grain</v>
      </c>
      <c r="M5" s="418">
        <f t="shared" si="3"/>
        <v>0</v>
      </c>
      <c r="N5" s="418">
        <f t="shared" si="3"/>
        <v>0</v>
      </c>
      <c r="O5" s="418">
        <f t="shared" si="3"/>
        <v>0</v>
      </c>
      <c r="P5" s="418">
        <f t="shared" si="3"/>
        <v>0</v>
      </c>
      <c r="Q5" s="418">
        <f t="shared" si="3"/>
        <v>0</v>
      </c>
      <c r="R5" s="418">
        <f t="shared" si="3"/>
        <v>0</v>
      </c>
      <c r="S5" s="418">
        <f t="shared" si="3"/>
        <v>0</v>
      </c>
      <c r="T5" s="418">
        <f t="shared" si="3"/>
        <v>0</v>
      </c>
      <c r="U5" s="418">
        <f t="shared" si="3"/>
        <v>13600</v>
      </c>
      <c r="V5" s="418">
        <f t="shared" si="3"/>
        <v>0</v>
      </c>
      <c r="W5" s="418">
        <f t="shared" si="2"/>
        <v>13600</v>
      </c>
      <c r="X5" s="222">
        <v>2</v>
      </c>
      <c r="Z5" s="221"/>
    </row>
    <row r="6" spans="1:41" ht="14.25" customHeight="1">
      <c r="B6" s="720" t="s">
        <v>259</v>
      </c>
      <c r="C6" s="719">
        <v>120</v>
      </c>
      <c r="D6" s="277" t="str">
        <f t="shared" si="4"/>
        <v>day</v>
      </c>
      <c r="E6" s="721" t="s">
        <v>60</v>
      </c>
      <c r="F6" s="818" t="str">
        <f t="shared" si="5"/>
        <v>@ 0.50 per day</v>
      </c>
      <c r="G6" s="819"/>
      <c r="H6" s="114">
        <f t="shared" si="6"/>
        <v>1020</v>
      </c>
      <c r="J6" s="222">
        <f t="shared" si="7"/>
        <v>2040</v>
      </c>
      <c r="K6" s="163"/>
      <c r="L6" s="418" t="str">
        <f t="shared" si="0"/>
        <v>salt and mineral</v>
      </c>
      <c r="M6" s="418">
        <f t="shared" si="3"/>
        <v>0</v>
      </c>
      <c r="N6" s="418">
        <f t="shared" si="3"/>
        <v>0</v>
      </c>
      <c r="O6" s="418">
        <f t="shared" si="3"/>
        <v>0</v>
      </c>
      <c r="P6" s="418">
        <f t="shared" si="3"/>
        <v>0</v>
      </c>
      <c r="Q6" s="418">
        <f t="shared" si="3"/>
        <v>0</v>
      </c>
      <c r="R6" s="418">
        <f t="shared" si="3"/>
        <v>20400</v>
      </c>
      <c r="S6" s="418">
        <f t="shared" si="3"/>
        <v>0</v>
      </c>
      <c r="T6" s="418">
        <f t="shared" si="3"/>
        <v>0</v>
      </c>
      <c r="U6" s="418">
        <f t="shared" si="3"/>
        <v>0</v>
      </c>
      <c r="V6" s="418">
        <f t="shared" si="3"/>
        <v>0</v>
      </c>
      <c r="W6" s="418">
        <f t="shared" si="2"/>
        <v>20400</v>
      </c>
      <c r="X6" s="222">
        <v>3</v>
      </c>
      <c r="Z6" s="221"/>
    </row>
    <row r="7" spans="1:41">
      <c r="B7" s="720" t="s">
        <v>248</v>
      </c>
      <c r="C7" s="719">
        <v>2700</v>
      </c>
      <c r="D7" s="277" t="str">
        <f t="shared" si="4"/>
        <v>lbs</v>
      </c>
      <c r="E7" s="721" t="s">
        <v>60</v>
      </c>
      <c r="F7" s="818" t="str">
        <f t="shared" si="5"/>
        <v>@ 0.07 per lbs</v>
      </c>
      <c r="G7" s="819"/>
      <c r="H7" s="114">
        <f t="shared" si="6"/>
        <v>2983.5</v>
      </c>
      <c r="J7" s="222">
        <f t="shared" si="7"/>
        <v>45900</v>
      </c>
      <c r="K7" s="163"/>
      <c r="L7" s="418">
        <f t="shared" si="0"/>
        <v>0</v>
      </c>
      <c r="M7" s="418">
        <f t="shared" si="3"/>
        <v>0</v>
      </c>
      <c r="N7" s="418">
        <f t="shared" si="3"/>
        <v>0</v>
      </c>
      <c r="O7" s="418">
        <f t="shared" si="3"/>
        <v>0</v>
      </c>
      <c r="P7" s="418">
        <f t="shared" si="3"/>
        <v>0</v>
      </c>
      <c r="Q7" s="418">
        <f t="shared" si="3"/>
        <v>0</v>
      </c>
      <c r="R7" s="418">
        <f t="shared" si="3"/>
        <v>0</v>
      </c>
      <c r="S7" s="418">
        <f t="shared" si="3"/>
        <v>0</v>
      </c>
      <c r="T7" s="418">
        <f t="shared" si="3"/>
        <v>0</v>
      </c>
      <c r="U7" s="418">
        <f t="shared" si="3"/>
        <v>0</v>
      </c>
      <c r="V7" s="418">
        <f t="shared" si="3"/>
        <v>0</v>
      </c>
      <c r="W7" s="418">
        <f t="shared" si="2"/>
        <v>0</v>
      </c>
      <c r="X7" s="222">
        <v>4</v>
      </c>
      <c r="Z7" s="221"/>
    </row>
    <row r="8" spans="1:41">
      <c r="B8" s="720" t="s">
        <v>269</v>
      </c>
      <c r="C8" s="719">
        <v>800</v>
      </c>
      <c r="D8" s="277" t="str">
        <f t="shared" si="4"/>
        <v>lbs</v>
      </c>
      <c r="E8" s="721" t="s">
        <v>60</v>
      </c>
      <c r="F8" s="818" t="str">
        <f t="shared" si="5"/>
        <v>@ 0.05 per lbs</v>
      </c>
      <c r="G8" s="819"/>
      <c r="H8" s="114">
        <f t="shared" si="6"/>
        <v>680</v>
      </c>
      <c r="J8" s="222">
        <f t="shared" si="7"/>
        <v>13600</v>
      </c>
      <c r="K8" s="163"/>
      <c r="L8" s="418" t="s">
        <v>30</v>
      </c>
      <c r="M8" s="418">
        <f>SUM(M2:M7)</f>
        <v>0</v>
      </c>
      <c r="N8" s="418">
        <f t="shared" ref="N8:V8" si="8">SUM(N2:N7)</f>
        <v>2550</v>
      </c>
      <c r="O8" s="418">
        <f t="shared" si="8"/>
        <v>45900</v>
      </c>
      <c r="P8" s="418">
        <f t="shared" si="8"/>
        <v>0</v>
      </c>
      <c r="Q8" s="418">
        <f t="shared" si="8"/>
        <v>0</v>
      </c>
      <c r="R8" s="418">
        <f t="shared" si="8"/>
        <v>20400</v>
      </c>
      <c r="S8" s="418">
        <f t="shared" si="8"/>
        <v>0</v>
      </c>
      <c r="T8" s="418">
        <f t="shared" si="8"/>
        <v>0</v>
      </c>
      <c r="U8" s="418">
        <f t="shared" si="8"/>
        <v>13600</v>
      </c>
      <c r="V8" s="418">
        <f t="shared" si="8"/>
        <v>2040</v>
      </c>
      <c r="W8" s="418"/>
      <c r="X8" s="222">
        <v>5</v>
      </c>
      <c r="Z8" s="221"/>
    </row>
    <row r="9" spans="1:41">
      <c r="B9" s="720" t="s">
        <v>258</v>
      </c>
      <c r="C9" s="719">
        <v>1200</v>
      </c>
      <c r="D9" s="277" t="str">
        <f t="shared" si="4"/>
        <v>ounce</v>
      </c>
      <c r="E9" s="721" t="s">
        <v>60</v>
      </c>
      <c r="F9" s="818" t="str">
        <f t="shared" si="5"/>
        <v>@ 0.03 per ounce</v>
      </c>
      <c r="G9" s="819"/>
      <c r="H9" s="114">
        <f t="shared" si="6"/>
        <v>573.75</v>
      </c>
      <c r="J9" s="222">
        <f t="shared" si="7"/>
        <v>20400</v>
      </c>
      <c r="K9" s="163"/>
      <c r="L9" s="163"/>
      <c r="M9" s="163"/>
      <c r="N9" s="163"/>
      <c r="O9" s="163"/>
      <c r="P9" s="163"/>
      <c r="Q9" s="163"/>
      <c r="R9" s="163"/>
      <c r="S9" s="163"/>
      <c r="X9" s="222">
        <v>6</v>
      </c>
      <c r="Z9" s="221"/>
    </row>
    <row r="10" spans="1:41" ht="13.5" thickBot="1">
      <c r="B10" s="204"/>
      <c r="C10" s="203"/>
      <c r="D10" s="277" t="str">
        <f t="shared" si="4"/>
        <v/>
      </c>
      <c r="E10" s="218"/>
      <c r="F10" s="818" t="str">
        <f t="shared" si="5"/>
        <v/>
      </c>
      <c r="G10" s="819"/>
      <c r="H10" s="114" t="str">
        <f t="shared" si="6"/>
        <v/>
      </c>
      <c r="J10" s="222">
        <f t="shared" si="7"/>
        <v>0</v>
      </c>
      <c r="K10" s="163"/>
      <c r="L10" s="163"/>
      <c r="M10" s="163"/>
      <c r="N10" s="163"/>
      <c r="O10" s="163"/>
      <c r="P10" s="163"/>
      <c r="Q10" s="163"/>
      <c r="R10" s="163"/>
      <c r="S10" s="163"/>
      <c r="X10" s="222">
        <v>7</v>
      </c>
      <c r="Z10" s="221"/>
    </row>
    <row r="11" spans="1:41" ht="16.5" thickBot="1">
      <c r="B11" s="66"/>
      <c r="C11" s="38"/>
      <c r="D11" s="38"/>
      <c r="E11" s="38"/>
      <c r="F11" s="38"/>
      <c r="G11" s="21" t="s">
        <v>245</v>
      </c>
      <c r="H11" s="589">
        <f>SUM(H5:H10)</f>
        <v>9507.25</v>
      </c>
      <c r="Z11" s="221"/>
    </row>
    <row r="12" spans="1:41" s="276" customFormat="1">
      <c r="B12" s="154"/>
      <c r="C12" s="154"/>
      <c r="D12" s="154"/>
      <c r="E12" s="154"/>
      <c r="F12" s="154"/>
      <c r="G12" s="154"/>
      <c r="H12" s="221"/>
      <c r="I12" s="222"/>
      <c r="J12" s="222"/>
      <c r="K12" s="222"/>
      <c r="L12" s="222"/>
      <c r="M12" s="222"/>
      <c r="N12" s="222"/>
      <c r="O12" s="222"/>
      <c r="P12" s="222"/>
      <c r="Q12" s="222"/>
      <c r="R12" s="223"/>
      <c r="S12" s="222"/>
      <c r="T12" s="222"/>
      <c r="U12" s="222"/>
      <c r="V12" s="222"/>
      <c r="W12" s="222"/>
      <c r="X12" s="222"/>
      <c r="Y12" s="222"/>
      <c r="Z12" s="221"/>
    </row>
    <row r="13" spans="1:41" s="276" customFormat="1" ht="20.25">
      <c r="B13" s="171" t="s">
        <v>121</v>
      </c>
      <c r="C13" s="154"/>
      <c r="D13" s="154"/>
      <c r="E13" s="154"/>
      <c r="F13" s="154"/>
      <c r="G13" s="154"/>
      <c r="H13" s="221"/>
      <c r="I13" s="222"/>
      <c r="J13" s="222"/>
      <c r="K13" s="222"/>
      <c r="L13" s="222"/>
      <c r="M13" s="222"/>
      <c r="N13" s="222"/>
      <c r="O13" s="222"/>
      <c r="P13" s="222"/>
      <c r="Q13" s="222"/>
      <c r="R13" s="223"/>
      <c r="S13" s="222"/>
      <c r="T13" s="222"/>
      <c r="U13" s="222"/>
      <c r="V13" s="222"/>
      <c r="W13" s="222"/>
      <c r="X13" s="222"/>
      <c r="Y13" s="222"/>
      <c r="Z13" s="221"/>
    </row>
    <row r="14" spans="1:41" s="276" customFormat="1">
      <c r="B14" s="221" t="s">
        <v>9</v>
      </c>
      <c r="C14" s="221"/>
      <c r="D14" s="221"/>
      <c r="E14" s="221"/>
      <c r="F14" s="221"/>
      <c r="G14" s="221"/>
      <c r="H14" s="221"/>
      <c r="I14" s="222"/>
      <c r="J14" s="222"/>
      <c r="K14" s="222"/>
      <c r="L14" s="222"/>
      <c r="M14" s="222"/>
      <c r="N14" s="222"/>
      <c r="O14" s="222"/>
      <c r="P14" s="222"/>
      <c r="Q14" s="222"/>
      <c r="R14" s="222"/>
      <c r="S14" s="222"/>
      <c r="T14" s="222"/>
      <c r="U14" s="222"/>
      <c r="V14" s="222"/>
      <c r="W14" s="222"/>
      <c r="X14" s="222"/>
      <c r="Y14" s="222"/>
      <c r="Z14" s="221"/>
    </row>
    <row r="15" spans="1:41" s="276" customFormat="1">
      <c r="B15" s="221" t="s">
        <v>9</v>
      </c>
      <c r="C15" s="221"/>
      <c r="D15" s="221"/>
      <c r="E15" s="221"/>
      <c r="F15" s="221"/>
      <c r="G15" s="221"/>
      <c r="H15" s="221"/>
      <c r="I15" s="222"/>
      <c r="J15" s="222"/>
      <c r="K15" s="222"/>
      <c r="L15" s="222"/>
      <c r="M15" s="222"/>
      <c r="N15" s="222"/>
      <c r="O15" s="222"/>
      <c r="P15" s="222"/>
      <c r="Q15" s="222"/>
      <c r="R15" s="222"/>
      <c r="S15" s="222"/>
      <c r="T15" s="222"/>
      <c r="U15" s="222"/>
      <c r="V15" s="222"/>
      <c r="W15" s="222"/>
      <c r="X15" s="222"/>
      <c r="Y15" s="222"/>
      <c r="Z15" s="221"/>
    </row>
    <row r="16" spans="1:41" s="276" customFormat="1">
      <c r="B16" s="221" t="s">
        <v>9</v>
      </c>
      <c r="C16" s="221"/>
      <c r="D16" s="221"/>
      <c r="E16" s="221"/>
      <c r="F16" s="221"/>
      <c r="G16" s="221"/>
      <c r="H16" s="221"/>
      <c r="I16" s="222"/>
      <c r="J16" s="222"/>
      <c r="K16" s="222"/>
      <c r="L16" s="222"/>
      <c r="M16" s="373"/>
      <c r="N16" s="222"/>
      <c r="O16" s="373"/>
      <c r="P16" s="222"/>
      <c r="Q16" s="222"/>
      <c r="R16" s="222"/>
      <c r="S16" s="222"/>
      <c r="T16" s="222"/>
      <c r="U16" s="222"/>
      <c r="V16" s="222"/>
      <c r="W16" s="222"/>
      <c r="X16" s="222"/>
      <c r="Y16" s="222"/>
      <c r="Z16" s="221"/>
    </row>
    <row r="17" spans="2:26" s="276" customFormat="1">
      <c r="B17" s="221" t="s">
        <v>9</v>
      </c>
      <c r="C17" s="221"/>
      <c r="D17" s="221"/>
      <c r="E17" s="221"/>
      <c r="F17" s="221"/>
      <c r="G17" s="221"/>
      <c r="H17" s="221"/>
      <c r="I17" s="222"/>
      <c r="J17" s="222"/>
      <c r="K17" s="222"/>
      <c r="L17" s="222"/>
      <c r="M17" s="222"/>
      <c r="N17" s="222"/>
      <c r="O17" s="222"/>
      <c r="P17" s="222"/>
      <c r="Q17" s="222"/>
      <c r="R17" s="222"/>
      <c r="S17" s="222"/>
      <c r="T17" s="222"/>
      <c r="U17" s="222"/>
      <c r="V17" s="222"/>
      <c r="W17" s="222"/>
      <c r="X17" s="222"/>
      <c r="Y17" s="222"/>
      <c r="Z17" s="221"/>
    </row>
    <row r="18" spans="2:26" s="276" customFormat="1">
      <c r="B18" s="221"/>
      <c r="C18" s="221"/>
      <c r="D18" s="221"/>
      <c r="E18" s="221"/>
      <c r="F18" s="221"/>
      <c r="G18" s="221"/>
      <c r="H18" s="221"/>
      <c r="I18" s="222"/>
      <c r="J18" s="222"/>
      <c r="K18" s="222"/>
      <c r="L18" s="222"/>
      <c r="M18" s="222"/>
      <c r="N18" s="222"/>
      <c r="O18" s="222"/>
      <c r="P18" s="222"/>
      <c r="Q18" s="222"/>
      <c r="R18" s="222"/>
      <c r="S18" s="222"/>
      <c r="T18" s="222"/>
      <c r="U18" s="222"/>
      <c r="V18" s="222"/>
      <c r="W18" s="222"/>
      <c r="X18" s="222"/>
      <c r="Y18" s="222"/>
      <c r="Z18" s="221"/>
    </row>
    <row r="19" spans="2:26" s="276" customFormat="1">
      <c r="B19" s="221"/>
      <c r="C19" s="221"/>
      <c r="D19" s="221"/>
      <c r="E19" s="221"/>
      <c r="F19" s="221"/>
      <c r="G19" s="221"/>
      <c r="H19" s="221"/>
      <c r="I19" s="222"/>
      <c r="J19" s="222"/>
      <c r="K19" s="222"/>
      <c r="L19" s="222"/>
      <c r="M19" s="222"/>
      <c r="N19" s="222"/>
      <c r="O19" s="222"/>
      <c r="P19" s="222"/>
      <c r="Q19" s="222"/>
      <c r="R19" s="222"/>
      <c r="S19" s="222"/>
      <c r="T19" s="222"/>
      <c r="U19" s="222"/>
      <c r="V19" s="222"/>
      <c r="W19" s="222"/>
      <c r="X19" s="222"/>
      <c r="Y19" s="222"/>
      <c r="Z19" s="221"/>
    </row>
    <row r="20" spans="2:26" s="276" customFormat="1">
      <c r="B20" s="221"/>
      <c r="C20" s="221"/>
      <c r="D20" s="221"/>
      <c r="E20" s="221"/>
      <c r="F20" s="221"/>
      <c r="G20" s="221"/>
      <c r="H20" s="221"/>
      <c r="I20" s="222"/>
      <c r="J20" s="222"/>
      <c r="K20" s="222"/>
      <c r="L20" s="222"/>
      <c r="M20" s="222"/>
      <c r="N20" s="222"/>
      <c r="O20" s="222"/>
      <c r="P20" s="222"/>
      <c r="Q20" s="222"/>
      <c r="R20" s="222"/>
      <c r="S20" s="222"/>
      <c r="T20" s="222"/>
      <c r="U20" s="222"/>
      <c r="V20" s="222"/>
      <c r="W20" s="222"/>
      <c r="X20" s="222"/>
      <c r="Y20" s="222"/>
      <c r="Z20" s="221"/>
    </row>
    <row r="21" spans="2:26" s="276" customFormat="1">
      <c r="B21" s="221"/>
      <c r="C21" s="221"/>
      <c r="D21" s="221"/>
      <c r="E21" s="221"/>
      <c r="F21" s="221"/>
      <c r="G21" s="221"/>
      <c r="H21" s="221"/>
      <c r="I21" s="222"/>
      <c r="J21" s="222"/>
      <c r="K21" s="222"/>
      <c r="L21" s="222"/>
      <c r="M21" s="222"/>
      <c r="N21" s="222"/>
      <c r="O21" s="222"/>
      <c r="P21" s="222"/>
      <c r="Q21" s="222"/>
      <c r="R21" s="222"/>
      <c r="S21" s="222"/>
      <c r="T21" s="222"/>
      <c r="U21" s="222"/>
      <c r="V21" s="222"/>
      <c r="W21" s="222"/>
      <c r="X21" s="222"/>
      <c r="Y21" s="222"/>
      <c r="Z21" s="221"/>
    </row>
    <row r="22" spans="2:26" s="276" customFormat="1">
      <c r="B22" s="221"/>
      <c r="C22" s="221"/>
      <c r="D22" s="221"/>
      <c r="E22" s="221"/>
      <c r="F22" s="221"/>
      <c r="G22" s="221"/>
      <c r="H22" s="221"/>
      <c r="I22" s="222"/>
      <c r="J22" s="222"/>
      <c r="K22" s="222"/>
      <c r="L22" s="222"/>
      <c r="M22" s="222"/>
      <c r="N22" s="222"/>
      <c r="O22" s="222"/>
      <c r="P22" s="222"/>
      <c r="Q22" s="222"/>
      <c r="R22" s="222"/>
      <c r="S22" s="222"/>
      <c r="T22" s="222"/>
      <c r="U22" s="222"/>
      <c r="V22" s="222"/>
      <c r="W22" s="222"/>
      <c r="X22" s="222"/>
      <c r="Y22" s="222"/>
      <c r="Z22" s="221"/>
    </row>
    <row r="23" spans="2:26" s="276" customFormat="1">
      <c r="B23" s="221"/>
      <c r="C23" s="221"/>
      <c r="D23" s="221"/>
      <c r="E23" s="221"/>
      <c r="F23" s="221"/>
      <c r="G23" s="221"/>
      <c r="H23" s="221"/>
      <c r="I23" s="222"/>
      <c r="J23" s="222"/>
      <c r="K23" s="222"/>
      <c r="L23" s="222"/>
      <c r="M23" s="222"/>
      <c r="N23" s="222"/>
      <c r="O23" s="222"/>
      <c r="P23" s="222"/>
      <c r="Q23" s="222"/>
      <c r="R23" s="222"/>
      <c r="S23" s="222"/>
      <c r="T23" s="222"/>
      <c r="U23" s="222"/>
      <c r="V23" s="222"/>
      <c r="W23" s="222"/>
      <c r="X23" s="222"/>
      <c r="Y23" s="222"/>
      <c r="Z23" s="221"/>
    </row>
    <row r="24" spans="2:26" s="276" customFormat="1">
      <c r="B24" s="221"/>
      <c r="C24" s="221"/>
      <c r="D24" s="221"/>
      <c r="E24" s="221"/>
      <c r="F24" s="221"/>
      <c r="G24" s="221"/>
      <c r="H24" s="221"/>
      <c r="I24" s="222"/>
      <c r="J24" s="222"/>
      <c r="K24" s="222"/>
      <c r="L24" s="222"/>
      <c r="M24" s="222"/>
      <c r="N24" s="222"/>
      <c r="O24" s="222"/>
      <c r="P24" s="222"/>
      <c r="Q24" s="222"/>
      <c r="R24" s="222"/>
      <c r="S24" s="222"/>
      <c r="T24" s="222"/>
      <c r="U24" s="222"/>
      <c r="V24" s="222"/>
      <c r="W24" s="222"/>
      <c r="X24" s="222"/>
      <c r="Y24" s="222"/>
      <c r="Z24" s="221"/>
    </row>
    <row r="25" spans="2:26" s="276" customFormat="1">
      <c r="B25" s="221"/>
      <c r="C25" s="221"/>
      <c r="D25" s="221"/>
      <c r="E25" s="221"/>
      <c r="F25" s="221"/>
      <c r="G25" s="221"/>
      <c r="H25" s="221"/>
      <c r="I25" s="222"/>
      <c r="J25" s="222"/>
      <c r="K25" s="222"/>
      <c r="L25" s="222"/>
      <c r="M25" s="222"/>
      <c r="N25" s="222"/>
      <c r="O25" s="222"/>
      <c r="P25" s="222"/>
      <c r="Q25" s="222"/>
      <c r="R25" s="222"/>
      <c r="S25" s="222"/>
      <c r="T25" s="222"/>
      <c r="U25" s="222"/>
      <c r="V25" s="222"/>
      <c r="W25" s="222"/>
      <c r="X25" s="222"/>
      <c r="Y25" s="222"/>
      <c r="Z25" s="221"/>
    </row>
    <row r="26" spans="2:26" s="276" customFormat="1">
      <c r="B26" s="221"/>
      <c r="C26" s="221"/>
      <c r="D26" s="221"/>
      <c r="E26" s="221"/>
      <c r="F26" s="221"/>
      <c r="G26" s="221"/>
      <c r="H26" s="221"/>
      <c r="I26" s="222"/>
      <c r="J26" s="222"/>
      <c r="K26" s="222"/>
      <c r="L26" s="222"/>
      <c r="M26" s="222"/>
      <c r="N26" s="222"/>
      <c r="O26" s="222"/>
      <c r="P26" s="222"/>
      <c r="Q26" s="222"/>
      <c r="R26" s="222"/>
      <c r="S26" s="222"/>
      <c r="T26" s="222"/>
      <c r="U26" s="222"/>
      <c r="V26" s="222"/>
      <c r="W26" s="222"/>
      <c r="X26" s="222"/>
      <c r="Y26" s="222"/>
      <c r="Z26" s="221"/>
    </row>
    <row r="27" spans="2:26" s="276" customFormat="1">
      <c r="B27" s="221"/>
      <c r="C27" s="221"/>
      <c r="D27" s="221"/>
      <c r="E27" s="221"/>
      <c r="F27" s="221"/>
      <c r="G27" s="221"/>
      <c r="H27" s="221"/>
      <c r="I27" s="222"/>
      <c r="J27" s="222"/>
      <c r="K27" s="222"/>
      <c r="L27" s="222"/>
      <c r="M27" s="222"/>
      <c r="N27" s="222"/>
      <c r="O27" s="222"/>
      <c r="P27" s="222"/>
      <c r="Q27" s="222"/>
      <c r="R27" s="222"/>
      <c r="S27" s="222"/>
      <c r="T27" s="222"/>
      <c r="U27" s="222"/>
      <c r="V27" s="222"/>
      <c r="W27" s="222"/>
      <c r="X27" s="222"/>
      <c r="Y27" s="222"/>
      <c r="Z27" s="221"/>
    </row>
    <row r="28" spans="2:26" s="276" customFormat="1">
      <c r="B28" s="221"/>
      <c r="C28" s="221"/>
      <c r="D28" s="221"/>
      <c r="E28" s="221"/>
      <c r="F28" s="221"/>
      <c r="G28" s="221"/>
      <c r="H28" s="221"/>
      <c r="I28" s="222"/>
      <c r="J28" s="222"/>
      <c r="K28" s="222"/>
      <c r="L28" s="222"/>
      <c r="M28" s="222"/>
      <c r="N28" s="222"/>
      <c r="O28" s="222"/>
      <c r="P28" s="222"/>
      <c r="Q28" s="222"/>
      <c r="R28" s="222"/>
      <c r="S28" s="222"/>
      <c r="T28" s="222"/>
      <c r="U28" s="222"/>
      <c r="V28" s="222"/>
      <c r="W28" s="222"/>
      <c r="X28" s="222"/>
      <c r="Y28" s="222"/>
      <c r="Z28" s="221"/>
    </row>
    <row r="29" spans="2:26" s="276" customFormat="1">
      <c r="B29" s="221"/>
      <c r="C29" s="221"/>
      <c r="D29" s="221"/>
      <c r="E29" s="221"/>
      <c r="F29" s="221"/>
      <c r="G29" s="221"/>
      <c r="H29" s="221"/>
      <c r="I29" s="222"/>
      <c r="J29" s="222"/>
      <c r="K29" s="222"/>
      <c r="L29" s="222"/>
      <c r="M29" s="222"/>
      <c r="N29" s="222"/>
      <c r="O29" s="222"/>
      <c r="P29" s="222"/>
      <c r="Q29" s="222"/>
      <c r="R29" s="222"/>
      <c r="S29" s="222"/>
      <c r="T29" s="222"/>
      <c r="U29" s="222"/>
      <c r="V29" s="222"/>
      <c r="W29" s="222"/>
      <c r="X29" s="222"/>
      <c r="Y29" s="222"/>
      <c r="Z29" s="221"/>
    </row>
    <row r="30" spans="2:26" s="276" customFormat="1">
      <c r="B30" s="221"/>
      <c r="C30" s="221"/>
      <c r="D30" s="221"/>
      <c r="E30" s="221"/>
      <c r="F30" s="221"/>
      <c r="G30" s="221"/>
      <c r="H30" s="221"/>
      <c r="I30" s="222"/>
      <c r="J30" s="222"/>
      <c r="K30" s="222"/>
      <c r="L30" s="222"/>
      <c r="M30" s="222"/>
      <c r="N30" s="222"/>
      <c r="O30" s="222"/>
      <c r="P30" s="222"/>
      <c r="Q30" s="222"/>
      <c r="R30" s="222"/>
      <c r="S30" s="222"/>
      <c r="T30" s="222"/>
      <c r="U30" s="222"/>
      <c r="V30" s="222"/>
      <c r="W30" s="222"/>
      <c r="X30" s="222"/>
      <c r="Y30" s="222"/>
      <c r="Z30" s="221"/>
    </row>
    <row r="31" spans="2:26" s="276" customFormat="1">
      <c r="B31" s="221"/>
      <c r="C31" s="221"/>
      <c r="D31" s="221"/>
      <c r="E31" s="221"/>
      <c r="F31" s="221"/>
      <c r="G31" s="221"/>
      <c r="H31" s="221"/>
      <c r="I31" s="222"/>
      <c r="J31" s="222"/>
      <c r="K31" s="222"/>
      <c r="L31" s="222"/>
      <c r="M31" s="222"/>
      <c r="N31" s="222"/>
      <c r="O31" s="222"/>
      <c r="P31" s="222"/>
      <c r="Q31" s="222"/>
      <c r="R31" s="222"/>
      <c r="S31" s="222"/>
      <c r="T31" s="222"/>
      <c r="U31" s="222"/>
      <c r="V31" s="222"/>
      <c r="W31" s="222"/>
      <c r="X31" s="222"/>
      <c r="Y31" s="222"/>
      <c r="Z31" s="221"/>
    </row>
    <row r="32" spans="2:26" s="276" customFormat="1">
      <c r="B32" s="221"/>
      <c r="C32" s="221"/>
      <c r="D32" s="221"/>
      <c r="E32" s="221"/>
      <c r="F32" s="221"/>
      <c r="G32" s="221"/>
      <c r="H32" s="221"/>
      <c r="I32" s="222"/>
      <c r="J32" s="222"/>
      <c r="K32" s="222"/>
      <c r="L32" s="222"/>
      <c r="M32" s="222"/>
      <c r="N32" s="222"/>
      <c r="O32" s="222"/>
      <c r="P32" s="222"/>
      <c r="Q32" s="222"/>
      <c r="R32" s="222"/>
      <c r="S32" s="222"/>
      <c r="T32" s="222"/>
      <c r="U32" s="222"/>
      <c r="V32" s="222"/>
      <c r="W32" s="222"/>
      <c r="X32" s="222"/>
      <c r="Y32" s="222"/>
      <c r="Z32" s="221"/>
    </row>
    <row r="33" spans="2:26" s="276" customFormat="1">
      <c r="B33" s="221"/>
      <c r="C33" s="221"/>
      <c r="D33" s="221"/>
      <c r="E33" s="221"/>
      <c r="F33" s="221"/>
      <c r="G33" s="221"/>
      <c r="H33" s="221"/>
      <c r="I33" s="222"/>
      <c r="J33" s="222"/>
      <c r="K33" s="222"/>
      <c r="L33" s="222"/>
      <c r="M33" s="222"/>
      <c r="N33" s="222"/>
      <c r="O33" s="222"/>
      <c r="P33" s="222"/>
      <c r="Q33" s="222"/>
      <c r="R33" s="222"/>
      <c r="S33" s="222"/>
      <c r="T33" s="222"/>
      <c r="U33" s="222"/>
      <c r="V33" s="222"/>
      <c r="W33" s="222"/>
      <c r="X33" s="222"/>
      <c r="Y33" s="222"/>
      <c r="Z33" s="221"/>
    </row>
    <row r="34" spans="2:26" s="276" customFormat="1">
      <c r="B34" s="221"/>
      <c r="C34" s="221"/>
      <c r="D34" s="221"/>
      <c r="E34" s="221"/>
      <c r="F34" s="221"/>
      <c r="G34" s="221"/>
      <c r="H34" s="221"/>
      <c r="I34" s="222"/>
      <c r="J34" s="222"/>
      <c r="K34" s="222"/>
      <c r="L34" s="222"/>
      <c r="M34" s="222"/>
      <c r="N34" s="222"/>
      <c r="O34" s="222"/>
      <c r="P34" s="222"/>
      <c r="Q34" s="222"/>
      <c r="R34" s="222"/>
      <c r="S34" s="222"/>
      <c r="T34" s="222"/>
      <c r="U34" s="222"/>
      <c r="V34" s="222"/>
      <c r="W34" s="222"/>
      <c r="X34" s="222"/>
      <c r="Y34" s="222"/>
      <c r="Z34" s="221"/>
    </row>
    <row r="35" spans="2:26" s="276" customFormat="1">
      <c r="B35" s="221"/>
      <c r="C35" s="221"/>
      <c r="D35" s="221"/>
      <c r="E35" s="221"/>
      <c r="F35" s="221"/>
      <c r="G35" s="221"/>
      <c r="H35" s="221"/>
      <c r="I35" s="222"/>
      <c r="J35" s="222"/>
      <c r="K35" s="222"/>
      <c r="L35" s="222"/>
      <c r="M35" s="222"/>
      <c r="N35" s="222"/>
      <c r="O35" s="222"/>
      <c r="P35" s="222"/>
      <c r="Q35" s="222"/>
      <c r="R35" s="222"/>
      <c r="S35" s="222"/>
      <c r="T35" s="222"/>
      <c r="U35" s="222"/>
      <c r="V35" s="222"/>
      <c r="W35" s="222"/>
      <c r="X35" s="222"/>
      <c r="Y35" s="222"/>
      <c r="Z35" s="221"/>
    </row>
    <row r="36" spans="2:26" s="276" customFormat="1">
      <c r="B36" s="221"/>
      <c r="C36" s="221"/>
      <c r="D36" s="221"/>
      <c r="E36" s="221"/>
      <c r="F36" s="221"/>
      <c r="G36" s="221"/>
      <c r="H36" s="221"/>
      <c r="I36" s="222"/>
      <c r="J36" s="222"/>
      <c r="K36" s="222"/>
      <c r="L36" s="222"/>
      <c r="M36" s="222"/>
      <c r="N36" s="222"/>
      <c r="O36" s="222"/>
      <c r="P36" s="222"/>
      <c r="Q36" s="222"/>
      <c r="R36" s="222"/>
      <c r="S36" s="222"/>
      <c r="T36" s="222"/>
      <c r="U36" s="222"/>
      <c r="V36" s="222"/>
      <c r="W36" s="222"/>
      <c r="X36" s="222"/>
      <c r="Y36" s="222"/>
      <c r="Z36" s="221"/>
    </row>
    <row r="37" spans="2:26" s="276" customFormat="1">
      <c r="B37" s="221"/>
      <c r="C37" s="221"/>
      <c r="D37" s="221"/>
      <c r="E37" s="221"/>
      <c r="F37" s="221"/>
      <c r="G37" s="221"/>
      <c r="H37" s="221"/>
      <c r="I37" s="222"/>
      <c r="J37" s="222"/>
      <c r="K37" s="222"/>
      <c r="L37" s="222"/>
      <c r="M37" s="222"/>
      <c r="N37" s="222"/>
      <c r="O37" s="222"/>
      <c r="P37" s="222"/>
      <c r="Q37" s="222"/>
      <c r="R37" s="222"/>
      <c r="S37" s="222"/>
      <c r="T37" s="222"/>
      <c r="U37" s="222"/>
      <c r="V37" s="222"/>
      <c r="W37" s="222"/>
      <c r="X37" s="222"/>
      <c r="Y37" s="222"/>
      <c r="Z37" s="221"/>
    </row>
    <row r="38" spans="2:26" s="276" customFormat="1">
      <c r="B38" s="221"/>
      <c r="C38" s="221"/>
      <c r="D38" s="221"/>
      <c r="E38" s="221"/>
      <c r="F38" s="221"/>
      <c r="G38" s="221"/>
      <c r="H38" s="221"/>
      <c r="I38" s="222"/>
      <c r="J38" s="222"/>
      <c r="K38" s="222"/>
      <c r="L38" s="222"/>
      <c r="M38" s="222"/>
      <c r="N38" s="222"/>
      <c r="O38" s="222"/>
      <c r="P38" s="222"/>
      <c r="Q38" s="222"/>
      <c r="R38" s="222"/>
      <c r="S38" s="222"/>
      <c r="T38" s="222"/>
      <c r="U38" s="222"/>
      <c r="V38" s="222"/>
      <c r="W38" s="222"/>
      <c r="X38" s="222"/>
      <c r="Y38" s="222"/>
      <c r="Z38" s="221"/>
    </row>
    <row r="39" spans="2:26" s="276" customFormat="1">
      <c r="B39" s="221"/>
      <c r="C39" s="221"/>
      <c r="D39" s="221"/>
      <c r="E39" s="221"/>
      <c r="F39" s="221"/>
      <c r="G39" s="221"/>
      <c r="H39" s="221"/>
      <c r="I39" s="222"/>
      <c r="J39" s="222"/>
      <c r="K39" s="222"/>
      <c r="L39" s="222"/>
      <c r="M39" s="222"/>
      <c r="N39" s="222"/>
      <c r="O39" s="222"/>
      <c r="P39" s="222"/>
      <c r="Q39" s="222"/>
      <c r="R39" s="222"/>
      <c r="S39" s="222"/>
      <c r="T39" s="222"/>
      <c r="U39" s="222"/>
      <c r="V39" s="222"/>
      <c r="W39" s="222"/>
      <c r="X39" s="222"/>
      <c r="Y39" s="222"/>
      <c r="Z39" s="221"/>
    </row>
    <row r="40" spans="2:26" s="276" customFormat="1">
      <c r="B40" s="221"/>
      <c r="C40" s="221"/>
      <c r="D40" s="221"/>
      <c r="E40" s="221"/>
      <c r="F40" s="221"/>
      <c r="G40" s="221"/>
      <c r="H40" s="221"/>
      <c r="I40" s="222"/>
      <c r="J40" s="222"/>
      <c r="K40" s="222"/>
      <c r="L40" s="222"/>
      <c r="M40" s="222"/>
      <c r="N40" s="222"/>
      <c r="O40" s="222"/>
      <c r="P40" s="222"/>
      <c r="Q40" s="222"/>
      <c r="R40" s="222"/>
      <c r="S40" s="222"/>
      <c r="T40" s="222"/>
      <c r="U40" s="222"/>
      <c r="V40" s="222"/>
      <c r="W40" s="222"/>
      <c r="X40" s="222"/>
      <c r="Y40" s="222"/>
      <c r="Z40" s="221"/>
    </row>
    <row r="41" spans="2:26" s="276" customFormat="1">
      <c r="B41" s="221"/>
      <c r="C41" s="221"/>
      <c r="D41" s="221"/>
      <c r="E41" s="221"/>
      <c r="F41" s="221"/>
      <c r="G41" s="221"/>
      <c r="H41" s="221"/>
      <c r="I41" s="222"/>
      <c r="J41" s="222"/>
      <c r="K41" s="222"/>
      <c r="L41" s="222"/>
      <c r="M41" s="222"/>
      <c r="N41" s="222"/>
      <c r="O41" s="222"/>
      <c r="P41" s="222"/>
      <c r="Q41" s="222"/>
      <c r="R41" s="222"/>
      <c r="S41" s="222"/>
      <c r="T41" s="222"/>
      <c r="U41" s="222"/>
      <c r="V41" s="222"/>
      <c r="W41" s="222"/>
      <c r="X41" s="222"/>
      <c r="Y41" s="222"/>
      <c r="Z41" s="221"/>
    </row>
    <row r="42" spans="2:26" s="276" customFormat="1">
      <c r="B42" s="221"/>
      <c r="C42" s="221"/>
      <c r="D42" s="221"/>
      <c r="E42" s="221"/>
      <c r="F42" s="221"/>
      <c r="G42" s="221"/>
      <c r="H42" s="221"/>
      <c r="I42" s="222"/>
      <c r="J42" s="222"/>
      <c r="K42" s="222"/>
      <c r="L42" s="222"/>
      <c r="M42" s="222"/>
      <c r="N42" s="222"/>
      <c r="O42" s="222"/>
      <c r="P42" s="222"/>
      <c r="Q42" s="222"/>
      <c r="R42" s="222"/>
      <c r="S42" s="222"/>
      <c r="T42" s="222"/>
      <c r="U42" s="222"/>
      <c r="V42" s="222"/>
      <c r="W42" s="222"/>
      <c r="X42" s="222"/>
      <c r="Y42" s="222"/>
      <c r="Z42" s="221"/>
    </row>
    <row r="43" spans="2:26" s="276" customFormat="1">
      <c r="B43" s="221"/>
      <c r="C43" s="221"/>
      <c r="D43" s="221"/>
      <c r="E43" s="221"/>
      <c r="F43" s="221"/>
      <c r="G43" s="221"/>
      <c r="H43" s="221"/>
      <c r="I43" s="222"/>
      <c r="J43" s="222"/>
      <c r="K43" s="222"/>
      <c r="L43" s="222"/>
      <c r="M43" s="222"/>
      <c r="N43" s="222"/>
      <c r="O43" s="222"/>
      <c r="P43" s="222"/>
      <c r="Q43" s="222"/>
      <c r="R43" s="222"/>
      <c r="S43" s="222"/>
      <c r="T43" s="222"/>
      <c r="U43" s="222"/>
      <c r="V43" s="222"/>
      <c r="W43" s="222"/>
      <c r="X43" s="222"/>
      <c r="Y43" s="222"/>
      <c r="Z43" s="221"/>
    </row>
    <row r="44" spans="2:26" s="276" customFormat="1">
      <c r="B44" s="221"/>
      <c r="C44" s="221"/>
      <c r="D44" s="221"/>
      <c r="E44" s="221"/>
      <c r="F44" s="221"/>
      <c r="G44" s="221"/>
      <c r="H44" s="221"/>
      <c r="I44" s="222"/>
      <c r="J44" s="222"/>
      <c r="K44" s="222"/>
      <c r="L44" s="222"/>
      <c r="M44" s="222"/>
      <c r="N44" s="222"/>
      <c r="O44" s="222"/>
      <c r="P44" s="222"/>
      <c r="Q44" s="222"/>
      <c r="R44" s="222"/>
      <c r="S44" s="222"/>
      <c r="T44" s="222"/>
      <c r="U44" s="222"/>
      <c r="V44" s="222"/>
      <c r="W44" s="222"/>
      <c r="X44" s="222"/>
      <c r="Y44" s="222"/>
      <c r="Z44" s="221"/>
    </row>
    <row r="45" spans="2:26" s="276" customFormat="1">
      <c r="B45" s="221"/>
      <c r="C45" s="221"/>
      <c r="D45" s="221"/>
      <c r="E45" s="221"/>
      <c r="F45" s="221"/>
      <c r="G45" s="221"/>
      <c r="H45" s="221"/>
      <c r="I45" s="222"/>
      <c r="J45" s="222"/>
      <c r="K45" s="222"/>
      <c r="L45" s="222"/>
      <c r="M45" s="222"/>
      <c r="N45" s="222"/>
      <c r="O45" s="222"/>
      <c r="P45" s="222"/>
      <c r="Q45" s="222"/>
      <c r="R45" s="222"/>
      <c r="S45" s="222"/>
      <c r="T45" s="222"/>
      <c r="U45" s="222"/>
      <c r="V45" s="222"/>
      <c r="W45" s="222"/>
      <c r="X45" s="222"/>
      <c r="Y45" s="222"/>
      <c r="Z45" s="221"/>
    </row>
    <row r="46" spans="2:26" s="276" customFormat="1">
      <c r="B46" s="221"/>
      <c r="C46" s="221"/>
      <c r="D46" s="221"/>
      <c r="E46" s="221"/>
      <c r="F46" s="221"/>
      <c r="G46" s="221"/>
      <c r="H46" s="221"/>
      <c r="I46" s="222"/>
      <c r="J46" s="222"/>
      <c r="K46" s="222"/>
      <c r="L46" s="222"/>
      <c r="M46" s="222"/>
      <c r="N46" s="222"/>
      <c r="O46" s="222"/>
      <c r="P46" s="222"/>
      <c r="Q46" s="222"/>
      <c r="R46" s="222"/>
      <c r="S46" s="222"/>
      <c r="T46" s="222"/>
      <c r="U46" s="222"/>
      <c r="V46" s="222"/>
      <c r="W46" s="222"/>
      <c r="X46" s="222"/>
      <c r="Y46" s="222"/>
      <c r="Z46" s="221"/>
    </row>
    <row r="47" spans="2:26" s="276" customFormat="1">
      <c r="B47" s="221"/>
      <c r="C47" s="221"/>
      <c r="D47" s="221"/>
      <c r="E47" s="221"/>
      <c r="F47" s="221"/>
      <c r="G47" s="221"/>
      <c r="H47" s="221"/>
      <c r="I47" s="222"/>
      <c r="J47" s="222"/>
      <c r="K47" s="222"/>
      <c r="L47" s="222"/>
      <c r="M47" s="222"/>
      <c r="N47" s="222"/>
      <c r="O47" s="222"/>
      <c r="P47" s="222"/>
      <c r="Q47" s="222"/>
      <c r="R47" s="222"/>
      <c r="S47" s="222"/>
      <c r="T47" s="222"/>
      <c r="U47" s="222"/>
      <c r="V47" s="222"/>
      <c r="W47" s="222"/>
      <c r="X47" s="222"/>
      <c r="Y47" s="222"/>
      <c r="Z47" s="221"/>
    </row>
    <row r="48" spans="2:26" s="276" customFormat="1">
      <c r="I48" s="222"/>
      <c r="J48" s="222"/>
      <c r="K48" s="222"/>
      <c r="L48" s="222"/>
      <c r="M48" s="222"/>
      <c r="N48" s="222"/>
      <c r="O48" s="222"/>
      <c r="P48" s="222"/>
      <c r="Q48" s="222"/>
      <c r="R48" s="222"/>
      <c r="S48" s="222"/>
      <c r="T48" s="222"/>
      <c r="U48" s="222"/>
      <c r="V48" s="222"/>
      <c r="W48" s="222"/>
      <c r="X48" s="222"/>
      <c r="Y48" s="222"/>
    </row>
    <row r="49" spans="9:25" s="276" customFormat="1">
      <c r="I49" s="222"/>
      <c r="J49" s="222"/>
      <c r="K49" s="222"/>
      <c r="L49" s="222"/>
      <c r="M49" s="222"/>
      <c r="N49" s="222"/>
      <c r="O49" s="222"/>
      <c r="P49" s="222"/>
      <c r="Q49" s="222"/>
      <c r="R49" s="222"/>
      <c r="S49" s="222"/>
      <c r="T49" s="222"/>
      <c r="U49" s="222"/>
      <c r="V49" s="222"/>
      <c r="W49" s="222"/>
      <c r="X49" s="222"/>
      <c r="Y49" s="222"/>
    </row>
    <row r="50" spans="9:25" s="276" customFormat="1">
      <c r="I50" s="222"/>
      <c r="J50" s="222"/>
      <c r="K50" s="222"/>
      <c r="L50" s="222"/>
      <c r="M50" s="222"/>
      <c r="N50" s="222"/>
      <c r="O50" s="222"/>
      <c r="P50" s="222"/>
      <c r="Q50" s="222"/>
      <c r="R50" s="222"/>
      <c r="S50" s="222"/>
      <c r="T50" s="222"/>
      <c r="U50" s="222"/>
      <c r="V50" s="222"/>
      <c r="W50" s="222"/>
      <c r="X50" s="222"/>
      <c r="Y50" s="222"/>
    </row>
    <row r="51" spans="9:25" s="276" customFormat="1">
      <c r="I51" s="222"/>
      <c r="J51" s="222"/>
      <c r="K51" s="222"/>
      <c r="L51" s="222"/>
      <c r="M51" s="222"/>
      <c r="N51" s="222"/>
      <c r="O51" s="222"/>
      <c r="P51" s="222"/>
      <c r="Q51" s="222"/>
      <c r="R51" s="222"/>
      <c r="S51" s="222"/>
      <c r="T51" s="222"/>
      <c r="U51" s="222"/>
      <c r="V51" s="222"/>
      <c r="W51" s="222"/>
      <c r="X51" s="222"/>
      <c r="Y51" s="222"/>
    </row>
    <row r="52" spans="9:25" s="276" customFormat="1">
      <c r="I52" s="222"/>
      <c r="J52" s="222"/>
      <c r="K52" s="222"/>
      <c r="L52" s="222"/>
      <c r="M52" s="222"/>
      <c r="N52" s="222"/>
      <c r="O52" s="222"/>
      <c r="P52" s="222"/>
      <c r="Q52" s="222"/>
      <c r="R52" s="222"/>
      <c r="S52" s="222"/>
      <c r="T52" s="222"/>
      <c r="U52" s="222"/>
      <c r="V52" s="222"/>
      <c r="W52" s="222"/>
      <c r="X52" s="222"/>
      <c r="Y52" s="222"/>
    </row>
    <row r="53" spans="9:25" s="276" customFormat="1">
      <c r="I53" s="222"/>
      <c r="J53" s="222"/>
      <c r="K53" s="222"/>
      <c r="L53" s="222"/>
      <c r="M53" s="222"/>
      <c r="N53" s="222"/>
      <c r="O53" s="222"/>
      <c r="P53" s="222"/>
      <c r="Q53" s="222"/>
      <c r="R53" s="222"/>
      <c r="S53" s="222"/>
      <c r="T53" s="222"/>
      <c r="U53" s="222"/>
      <c r="V53" s="222"/>
      <c r="W53" s="222"/>
      <c r="X53" s="222"/>
      <c r="Y53" s="222"/>
    </row>
    <row r="54" spans="9:25" s="276" customFormat="1">
      <c r="I54" s="222"/>
      <c r="J54" s="222"/>
      <c r="K54" s="222"/>
      <c r="L54" s="222"/>
      <c r="M54" s="222"/>
      <c r="N54" s="222"/>
      <c r="O54" s="222"/>
      <c r="P54" s="222"/>
      <c r="Q54" s="222"/>
      <c r="R54" s="222"/>
      <c r="S54" s="222"/>
      <c r="T54" s="222"/>
      <c r="U54" s="222"/>
      <c r="V54" s="222"/>
      <c r="W54" s="222"/>
      <c r="X54" s="222"/>
      <c r="Y54" s="222"/>
    </row>
    <row r="55" spans="9:25" s="276" customFormat="1">
      <c r="I55" s="222"/>
      <c r="J55" s="222"/>
      <c r="K55" s="222"/>
      <c r="L55" s="222"/>
      <c r="M55" s="222"/>
      <c r="N55" s="222"/>
      <c r="O55" s="222"/>
      <c r="P55" s="222"/>
      <c r="Q55" s="222"/>
      <c r="R55" s="222"/>
      <c r="S55" s="222"/>
      <c r="T55" s="222"/>
      <c r="U55" s="222"/>
      <c r="V55" s="222"/>
      <c r="W55" s="222"/>
      <c r="X55" s="222"/>
      <c r="Y55" s="222"/>
    </row>
    <row r="56" spans="9:25" s="276" customFormat="1">
      <c r="I56" s="222"/>
      <c r="J56" s="222"/>
      <c r="K56" s="222"/>
      <c r="L56" s="222"/>
      <c r="M56" s="222"/>
      <c r="N56" s="222"/>
      <c r="O56" s="222"/>
      <c r="P56" s="222"/>
      <c r="Q56" s="222"/>
      <c r="R56" s="222"/>
      <c r="S56" s="222"/>
      <c r="T56" s="222"/>
      <c r="U56" s="222"/>
      <c r="V56" s="222"/>
      <c r="W56" s="222"/>
      <c r="X56" s="222"/>
      <c r="Y56" s="222"/>
    </row>
    <row r="57" spans="9:25" s="276" customFormat="1">
      <c r="I57" s="222"/>
      <c r="J57" s="222"/>
      <c r="K57" s="222"/>
      <c r="L57" s="222"/>
      <c r="M57" s="222"/>
      <c r="N57" s="222"/>
      <c r="O57" s="222"/>
      <c r="P57" s="222"/>
      <c r="Q57" s="222"/>
      <c r="R57" s="222"/>
      <c r="S57" s="222"/>
      <c r="T57" s="222"/>
      <c r="U57" s="222"/>
      <c r="V57" s="222"/>
      <c r="W57" s="222"/>
      <c r="X57" s="222"/>
      <c r="Y57" s="222"/>
    </row>
    <row r="58" spans="9:25" s="276" customFormat="1">
      <c r="I58" s="222"/>
      <c r="J58" s="222"/>
      <c r="K58" s="222"/>
      <c r="L58" s="222"/>
      <c r="M58" s="222"/>
      <c r="N58" s="222"/>
      <c r="O58" s="222"/>
      <c r="P58" s="222"/>
      <c r="Q58" s="222"/>
      <c r="R58" s="222"/>
      <c r="S58" s="222"/>
      <c r="T58" s="222"/>
      <c r="U58" s="222"/>
      <c r="V58" s="222"/>
      <c r="W58" s="222"/>
      <c r="X58" s="222"/>
      <c r="Y58" s="222"/>
    </row>
    <row r="59" spans="9:25" s="276" customFormat="1">
      <c r="I59" s="222"/>
      <c r="J59" s="222"/>
      <c r="K59" s="222"/>
      <c r="L59" s="222"/>
      <c r="M59" s="222"/>
      <c r="N59" s="222"/>
      <c r="O59" s="222"/>
      <c r="P59" s="222"/>
      <c r="Q59" s="222"/>
      <c r="R59" s="222"/>
      <c r="S59" s="222"/>
      <c r="T59" s="222"/>
      <c r="U59" s="222"/>
      <c r="V59" s="222"/>
      <c r="W59" s="222"/>
      <c r="X59" s="222"/>
      <c r="Y59" s="222"/>
    </row>
    <row r="60" spans="9:25" s="276" customFormat="1">
      <c r="I60" s="222"/>
      <c r="J60" s="222"/>
      <c r="K60" s="222"/>
      <c r="L60" s="222"/>
      <c r="M60" s="222"/>
      <c r="N60" s="222"/>
      <c r="O60" s="222"/>
      <c r="P60" s="222"/>
      <c r="Q60" s="222"/>
      <c r="R60" s="222"/>
      <c r="S60" s="222"/>
      <c r="T60" s="222"/>
      <c r="U60" s="222"/>
      <c r="V60" s="222"/>
      <c r="W60" s="222"/>
      <c r="X60" s="222"/>
      <c r="Y60" s="222"/>
    </row>
    <row r="61" spans="9:25" s="276" customFormat="1">
      <c r="I61" s="222"/>
      <c r="J61" s="222"/>
      <c r="K61" s="222"/>
      <c r="L61" s="222"/>
      <c r="M61" s="222"/>
      <c r="N61" s="222"/>
      <c r="O61" s="222"/>
      <c r="P61" s="222"/>
      <c r="Q61" s="222"/>
      <c r="R61" s="222"/>
      <c r="S61" s="222"/>
      <c r="T61" s="222"/>
      <c r="U61" s="222"/>
      <c r="V61" s="222"/>
      <c r="W61" s="222"/>
      <c r="X61" s="222"/>
      <c r="Y61" s="222"/>
    </row>
    <row r="62" spans="9:25" s="276" customFormat="1">
      <c r="I62" s="222"/>
      <c r="J62" s="222"/>
      <c r="K62" s="222"/>
      <c r="L62" s="222"/>
      <c r="M62" s="222"/>
      <c r="N62" s="222"/>
      <c r="O62" s="222"/>
      <c r="P62" s="222"/>
      <c r="Q62" s="222"/>
      <c r="R62" s="222"/>
      <c r="S62" s="222"/>
      <c r="T62" s="222"/>
      <c r="U62" s="222"/>
      <c r="V62" s="222"/>
      <c r="W62" s="222"/>
      <c r="X62" s="222"/>
      <c r="Y62" s="222"/>
    </row>
    <row r="63" spans="9:25" s="276" customFormat="1">
      <c r="I63" s="222"/>
      <c r="J63" s="222"/>
      <c r="K63" s="222"/>
      <c r="L63" s="222"/>
      <c r="M63" s="222"/>
      <c r="N63" s="222"/>
      <c r="O63" s="222"/>
      <c r="P63" s="222"/>
      <c r="Q63" s="222"/>
      <c r="R63" s="222"/>
      <c r="S63" s="222"/>
      <c r="T63" s="222"/>
      <c r="U63" s="222"/>
      <c r="V63" s="222"/>
      <c r="W63" s="222"/>
      <c r="X63" s="222"/>
      <c r="Y63" s="222"/>
    </row>
    <row r="64" spans="9:25" s="276" customFormat="1">
      <c r="I64" s="222"/>
      <c r="J64" s="222"/>
      <c r="K64" s="222"/>
      <c r="L64" s="222"/>
      <c r="M64" s="222"/>
      <c r="N64" s="222"/>
      <c r="O64" s="222"/>
      <c r="P64" s="222"/>
      <c r="Q64" s="222"/>
      <c r="R64" s="222"/>
      <c r="S64" s="222"/>
      <c r="T64" s="222"/>
      <c r="U64" s="222"/>
      <c r="V64" s="222"/>
      <c r="W64" s="222"/>
      <c r="X64" s="222"/>
      <c r="Y64" s="222"/>
    </row>
    <row r="65" spans="9:25" s="276" customFormat="1">
      <c r="I65" s="222"/>
      <c r="J65" s="222"/>
      <c r="K65" s="222"/>
      <c r="L65" s="222"/>
      <c r="M65" s="222"/>
      <c r="N65" s="222"/>
      <c r="O65" s="222"/>
      <c r="P65" s="222"/>
      <c r="Q65" s="222"/>
      <c r="R65" s="222"/>
      <c r="S65" s="222"/>
      <c r="T65" s="222"/>
      <c r="U65" s="222"/>
      <c r="V65" s="222"/>
      <c r="W65" s="222"/>
      <c r="X65" s="222"/>
      <c r="Y65" s="222"/>
    </row>
    <row r="66" spans="9:25" s="276" customFormat="1">
      <c r="I66" s="222"/>
      <c r="J66" s="222"/>
      <c r="K66" s="222"/>
      <c r="L66" s="222"/>
      <c r="M66" s="222"/>
      <c r="N66" s="222"/>
      <c r="O66" s="222"/>
      <c r="P66" s="222"/>
      <c r="Q66" s="222"/>
      <c r="R66" s="222"/>
      <c r="S66" s="222"/>
      <c r="T66" s="222"/>
      <c r="U66" s="222"/>
      <c r="V66" s="222"/>
      <c r="W66" s="222"/>
      <c r="X66" s="222"/>
      <c r="Y66" s="222"/>
    </row>
    <row r="67" spans="9:25" s="276" customFormat="1">
      <c r="I67" s="222"/>
      <c r="J67" s="222"/>
      <c r="K67" s="222"/>
      <c r="L67" s="222"/>
      <c r="M67" s="222"/>
      <c r="N67" s="222"/>
      <c r="O67" s="222"/>
      <c r="P67" s="222"/>
      <c r="Q67" s="222"/>
      <c r="R67" s="222"/>
      <c r="S67" s="222"/>
      <c r="T67" s="222"/>
      <c r="U67" s="222"/>
      <c r="V67" s="222"/>
      <c r="W67" s="222"/>
      <c r="X67" s="222"/>
      <c r="Y67" s="222"/>
    </row>
    <row r="68" spans="9:25" s="276" customFormat="1">
      <c r="I68" s="222"/>
      <c r="J68" s="222"/>
      <c r="K68" s="222"/>
      <c r="L68" s="222"/>
      <c r="M68" s="222"/>
      <c r="N68" s="222"/>
      <c r="O68" s="222"/>
      <c r="P68" s="222"/>
      <c r="Q68" s="222"/>
      <c r="R68" s="222"/>
      <c r="S68" s="222"/>
      <c r="T68" s="222"/>
      <c r="U68" s="222"/>
      <c r="V68" s="222"/>
      <c r="W68" s="222"/>
      <c r="X68" s="222"/>
      <c r="Y68" s="222"/>
    </row>
    <row r="69" spans="9:25" s="276" customFormat="1">
      <c r="I69" s="222"/>
      <c r="J69" s="222"/>
      <c r="K69" s="222"/>
      <c r="L69" s="222"/>
      <c r="M69" s="222"/>
      <c r="N69" s="222"/>
      <c r="O69" s="222"/>
      <c r="P69" s="222"/>
      <c r="Q69" s="222"/>
      <c r="R69" s="222"/>
      <c r="S69" s="222"/>
      <c r="T69" s="222"/>
      <c r="U69" s="222"/>
      <c r="V69" s="222"/>
      <c r="W69" s="222"/>
      <c r="X69" s="222"/>
      <c r="Y69" s="222"/>
    </row>
    <row r="70" spans="9:25" s="276" customFormat="1">
      <c r="I70" s="222"/>
      <c r="J70" s="222"/>
      <c r="K70" s="222"/>
      <c r="L70" s="222"/>
      <c r="M70" s="222"/>
      <c r="N70" s="222"/>
      <c r="O70" s="222"/>
      <c r="P70" s="222"/>
      <c r="Q70" s="222"/>
      <c r="R70" s="222"/>
      <c r="S70" s="222"/>
      <c r="T70" s="222"/>
      <c r="U70" s="222"/>
      <c r="V70" s="222"/>
      <c r="W70" s="222"/>
      <c r="X70" s="222"/>
      <c r="Y70" s="222"/>
    </row>
    <row r="71" spans="9:25" s="276" customFormat="1">
      <c r="I71" s="222"/>
      <c r="J71" s="222"/>
      <c r="K71" s="222"/>
      <c r="L71" s="222"/>
      <c r="M71" s="222"/>
      <c r="N71" s="222"/>
      <c r="O71" s="222"/>
      <c r="P71" s="222"/>
      <c r="Q71" s="222"/>
      <c r="R71" s="222"/>
      <c r="S71" s="222"/>
      <c r="T71" s="222"/>
      <c r="U71" s="222"/>
      <c r="V71" s="222"/>
      <c r="W71" s="222"/>
      <c r="X71" s="222"/>
      <c r="Y71" s="222"/>
    </row>
    <row r="72" spans="9:25" s="276" customFormat="1">
      <c r="I72" s="222"/>
      <c r="J72" s="222"/>
      <c r="K72" s="222"/>
      <c r="L72" s="222"/>
      <c r="M72" s="222"/>
      <c r="N72" s="222"/>
      <c r="O72" s="222"/>
      <c r="P72" s="222"/>
      <c r="Q72" s="222"/>
      <c r="R72" s="222"/>
      <c r="S72" s="222"/>
      <c r="T72" s="222"/>
      <c r="U72" s="222"/>
      <c r="V72" s="222"/>
      <c r="W72" s="222"/>
      <c r="X72" s="222"/>
      <c r="Y72" s="222"/>
    </row>
    <row r="73" spans="9:25" s="276" customFormat="1">
      <c r="I73" s="222"/>
      <c r="J73" s="222"/>
      <c r="K73" s="222"/>
      <c r="L73" s="222"/>
      <c r="M73" s="222"/>
      <c r="N73" s="222"/>
      <c r="O73" s="222"/>
      <c r="P73" s="222"/>
      <c r="Q73" s="222"/>
      <c r="R73" s="222"/>
      <c r="S73" s="222"/>
      <c r="T73" s="222"/>
      <c r="U73" s="222"/>
      <c r="V73" s="222"/>
      <c r="W73" s="222"/>
      <c r="X73" s="222"/>
      <c r="Y73" s="222"/>
    </row>
    <row r="74" spans="9:25" s="276" customFormat="1">
      <c r="I74" s="222"/>
      <c r="J74" s="222"/>
      <c r="K74" s="222"/>
      <c r="L74" s="222"/>
      <c r="M74" s="222"/>
      <c r="N74" s="222"/>
      <c r="O74" s="222"/>
      <c r="P74" s="222"/>
      <c r="Q74" s="222"/>
      <c r="R74" s="222"/>
      <c r="S74" s="222"/>
      <c r="T74" s="222"/>
      <c r="U74" s="222"/>
      <c r="V74" s="222"/>
      <c r="W74" s="222"/>
      <c r="X74" s="222"/>
      <c r="Y74" s="222"/>
    </row>
    <row r="75" spans="9:25" s="276" customFormat="1">
      <c r="I75" s="222"/>
      <c r="J75" s="222"/>
      <c r="K75" s="222"/>
      <c r="L75" s="222"/>
      <c r="M75" s="222"/>
      <c r="N75" s="222"/>
      <c r="O75" s="222"/>
      <c r="P75" s="222"/>
      <c r="Q75" s="222"/>
      <c r="R75" s="222"/>
      <c r="S75" s="222"/>
      <c r="T75" s="222"/>
      <c r="U75" s="222"/>
      <c r="V75" s="222"/>
      <c r="W75" s="222"/>
      <c r="X75" s="222"/>
      <c r="Y75" s="222"/>
    </row>
    <row r="76" spans="9:25" s="276" customFormat="1">
      <c r="I76" s="222"/>
      <c r="J76" s="222"/>
      <c r="K76" s="222"/>
      <c r="L76" s="222"/>
      <c r="M76" s="222"/>
      <c r="N76" s="222"/>
      <c r="O76" s="222"/>
      <c r="P76" s="222"/>
      <c r="Q76" s="222"/>
      <c r="R76" s="222"/>
      <c r="S76" s="222"/>
      <c r="T76" s="222"/>
      <c r="U76" s="222"/>
      <c r="V76" s="222"/>
      <c r="W76" s="222"/>
      <c r="X76" s="222"/>
      <c r="Y76" s="222"/>
    </row>
    <row r="77" spans="9:25" s="276" customFormat="1">
      <c r="I77" s="222"/>
      <c r="J77" s="222"/>
      <c r="K77" s="222"/>
      <c r="L77" s="222"/>
      <c r="M77" s="222"/>
      <c r="N77" s="222"/>
      <c r="O77" s="222"/>
      <c r="P77" s="222"/>
      <c r="Q77" s="222"/>
      <c r="R77" s="222"/>
      <c r="S77" s="222"/>
      <c r="T77" s="222"/>
      <c r="U77" s="222"/>
      <c r="V77" s="222"/>
      <c r="W77" s="222"/>
      <c r="X77" s="222"/>
      <c r="Y77" s="222"/>
    </row>
    <row r="78" spans="9:25" s="276" customFormat="1">
      <c r="I78" s="222"/>
      <c r="J78" s="222"/>
      <c r="K78" s="222"/>
      <c r="L78" s="222"/>
      <c r="M78" s="222"/>
      <c r="N78" s="222"/>
      <c r="O78" s="222"/>
      <c r="P78" s="222"/>
      <c r="Q78" s="222"/>
      <c r="R78" s="222"/>
      <c r="S78" s="222"/>
      <c r="T78" s="222"/>
      <c r="U78" s="222"/>
      <c r="V78" s="222"/>
      <c r="W78" s="222"/>
      <c r="X78" s="222"/>
      <c r="Y78" s="222"/>
    </row>
    <row r="79" spans="9:25" s="276" customFormat="1">
      <c r="I79" s="222"/>
      <c r="J79" s="222"/>
      <c r="K79" s="222"/>
      <c r="L79" s="222"/>
      <c r="M79" s="222"/>
      <c r="N79" s="222"/>
      <c r="O79" s="222"/>
      <c r="P79" s="222"/>
      <c r="Q79" s="222"/>
      <c r="R79" s="222"/>
      <c r="S79" s="222"/>
      <c r="T79" s="222"/>
      <c r="U79" s="222"/>
      <c r="V79" s="222"/>
      <c r="W79" s="222"/>
      <c r="X79" s="222"/>
      <c r="Y79" s="222"/>
    </row>
    <row r="80" spans="9:25" s="276" customFormat="1">
      <c r="I80" s="222"/>
      <c r="J80" s="222"/>
      <c r="K80" s="222"/>
      <c r="L80" s="222"/>
      <c r="M80" s="222"/>
      <c r="N80" s="222"/>
      <c r="O80" s="222"/>
      <c r="P80" s="222"/>
      <c r="Q80" s="222"/>
      <c r="R80" s="222"/>
      <c r="S80" s="222"/>
      <c r="T80" s="222"/>
      <c r="U80" s="222"/>
      <c r="V80" s="222"/>
      <c r="W80" s="222"/>
      <c r="X80" s="222"/>
      <c r="Y80" s="222"/>
    </row>
    <row r="81" spans="9:25" s="276" customFormat="1">
      <c r="I81" s="222"/>
      <c r="J81" s="222"/>
      <c r="K81" s="222"/>
      <c r="L81" s="222"/>
      <c r="M81" s="222"/>
      <c r="N81" s="222"/>
      <c r="O81" s="222"/>
      <c r="P81" s="222"/>
      <c r="Q81" s="222"/>
      <c r="R81" s="222"/>
      <c r="S81" s="222"/>
      <c r="T81" s="222"/>
      <c r="U81" s="222"/>
      <c r="V81" s="222"/>
      <c r="W81" s="222"/>
      <c r="X81" s="222"/>
      <c r="Y81" s="222"/>
    </row>
    <row r="82" spans="9:25" s="276" customFormat="1">
      <c r="I82" s="222"/>
      <c r="J82" s="222"/>
      <c r="K82" s="222"/>
      <c r="L82" s="222"/>
      <c r="M82" s="222"/>
      <c r="N82" s="222"/>
      <c r="O82" s="222"/>
      <c r="P82" s="222"/>
      <c r="Q82" s="222"/>
      <c r="R82" s="222"/>
      <c r="S82" s="222"/>
      <c r="T82" s="222"/>
      <c r="U82" s="222"/>
      <c r="V82" s="222"/>
      <c r="W82" s="222"/>
      <c r="X82" s="222"/>
      <c r="Y82" s="222"/>
    </row>
    <row r="83" spans="9:25" s="276" customFormat="1">
      <c r="I83" s="222"/>
      <c r="J83" s="222"/>
      <c r="K83" s="222"/>
      <c r="L83" s="222"/>
      <c r="M83" s="222"/>
      <c r="N83" s="222"/>
      <c r="O83" s="222"/>
      <c r="P83" s="222"/>
      <c r="Q83" s="222"/>
      <c r="R83" s="222"/>
      <c r="S83" s="222"/>
      <c r="T83" s="222"/>
      <c r="U83" s="222"/>
      <c r="V83" s="222"/>
      <c r="W83" s="222"/>
      <c r="X83" s="222"/>
      <c r="Y83" s="222"/>
    </row>
    <row r="84" spans="9:25" s="276" customFormat="1">
      <c r="I84" s="222"/>
      <c r="J84" s="222"/>
      <c r="K84" s="222"/>
      <c r="L84" s="222"/>
      <c r="M84" s="222"/>
      <c r="N84" s="222"/>
      <c r="O84" s="222"/>
      <c r="P84" s="222"/>
      <c r="Q84" s="222"/>
      <c r="R84" s="222"/>
      <c r="S84" s="222"/>
      <c r="T84" s="222"/>
      <c r="U84" s="222"/>
      <c r="V84" s="222"/>
      <c r="W84" s="222"/>
      <c r="X84" s="222"/>
      <c r="Y84" s="222"/>
    </row>
    <row r="85" spans="9:25" s="276" customFormat="1">
      <c r="I85" s="222"/>
      <c r="J85" s="222"/>
      <c r="K85" s="222"/>
      <c r="L85" s="222"/>
      <c r="M85" s="222"/>
      <c r="N85" s="222"/>
      <c r="O85" s="222"/>
      <c r="P85" s="222"/>
      <c r="Q85" s="222"/>
      <c r="R85" s="222"/>
      <c r="S85" s="222"/>
      <c r="T85" s="222"/>
      <c r="U85" s="222"/>
      <c r="V85" s="222"/>
      <c r="W85" s="222"/>
      <c r="X85" s="222"/>
      <c r="Y85" s="222"/>
    </row>
    <row r="86" spans="9:25" s="276" customFormat="1">
      <c r="I86" s="222"/>
      <c r="J86" s="222"/>
      <c r="K86" s="222"/>
      <c r="L86" s="222"/>
      <c r="M86" s="222"/>
      <c r="N86" s="222"/>
      <c r="O86" s="222"/>
      <c r="P86" s="222"/>
      <c r="Q86" s="222"/>
      <c r="R86" s="222"/>
      <c r="S86" s="222"/>
      <c r="T86" s="222"/>
      <c r="U86" s="222"/>
      <c r="V86" s="222"/>
      <c r="W86" s="222"/>
      <c r="X86" s="222"/>
      <c r="Y86" s="222"/>
    </row>
    <row r="87" spans="9:25" s="276" customFormat="1">
      <c r="I87" s="222"/>
      <c r="J87" s="222"/>
      <c r="K87" s="222"/>
      <c r="L87" s="222"/>
      <c r="M87" s="222"/>
      <c r="N87" s="222"/>
      <c r="O87" s="222"/>
      <c r="P87" s="222"/>
      <c r="Q87" s="222"/>
      <c r="R87" s="222"/>
      <c r="S87" s="222"/>
      <c r="T87" s="222"/>
      <c r="U87" s="222"/>
      <c r="V87" s="222"/>
      <c r="W87" s="222"/>
      <c r="X87" s="222"/>
      <c r="Y87" s="222"/>
    </row>
    <row r="88" spans="9:25" s="276" customFormat="1">
      <c r="I88" s="222"/>
      <c r="J88" s="222"/>
      <c r="K88" s="222"/>
      <c r="L88" s="222"/>
      <c r="M88" s="222"/>
      <c r="N88" s="222"/>
      <c r="O88" s="222"/>
      <c r="P88" s="222"/>
      <c r="Q88" s="222"/>
      <c r="R88" s="222"/>
      <c r="S88" s="222"/>
      <c r="T88" s="222"/>
      <c r="U88" s="222"/>
      <c r="V88" s="222"/>
      <c r="W88" s="222"/>
      <c r="X88" s="222"/>
      <c r="Y88" s="222"/>
    </row>
    <row r="89" spans="9:25" s="276" customFormat="1">
      <c r="I89" s="222"/>
      <c r="J89" s="222"/>
      <c r="K89" s="222"/>
      <c r="L89" s="222"/>
      <c r="M89" s="222"/>
      <c r="N89" s="222"/>
      <c r="O89" s="222"/>
      <c r="P89" s="222"/>
      <c r="Q89" s="222"/>
      <c r="R89" s="222"/>
      <c r="S89" s="222"/>
      <c r="T89" s="222"/>
      <c r="U89" s="222"/>
      <c r="V89" s="222"/>
      <c r="W89" s="222"/>
      <c r="X89" s="222"/>
      <c r="Y89" s="222"/>
    </row>
    <row r="90" spans="9:25" s="276" customFormat="1">
      <c r="I90" s="222"/>
      <c r="J90" s="222"/>
      <c r="K90" s="222"/>
      <c r="L90" s="222"/>
      <c r="M90" s="222"/>
      <c r="N90" s="222"/>
      <c r="O90" s="222"/>
      <c r="P90" s="222"/>
      <c r="Q90" s="222"/>
      <c r="R90" s="222"/>
      <c r="S90" s="222"/>
      <c r="T90" s="222"/>
      <c r="U90" s="222"/>
      <c r="V90" s="222"/>
      <c r="W90" s="222"/>
      <c r="X90" s="222"/>
      <c r="Y90" s="222"/>
    </row>
    <row r="91" spans="9:25" s="276" customFormat="1">
      <c r="I91" s="222"/>
      <c r="J91" s="222"/>
      <c r="K91" s="222"/>
      <c r="L91" s="222"/>
      <c r="M91" s="222"/>
      <c r="N91" s="222"/>
      <c r="O91" s="222"/>
      <c r="P91" s="222"/>
      <c r="Q91" s="222"/>
      <c r="R91" s="222"/>
      <c r="S91" s="222"/>
      <c r="T91" s="222"/>
      <c r="U91" s="222"/>
      <c r="V91" s="222"/>
      <c r="W91" s="222"/>
      <c r="X91" s="222"/>
      <c r="Y91" s="222"/>
    </row>
    <row r="92" spans="9:25" s="276" customFormat="1">
      <c r="I92" s="222"/>
      <c r="J92" s="222"/>
      <c r="K92" s="222"/>
      <c r="L92" s="222"/>
      <c r="M92" s="222"/>
      <c r="N92" s="222"/>
      <c r="O92" s="222"/>
      <c r="P92" s="222"/>
      <c r="Q92" s="222"/>
      <c r="R92" s="222"/>
      <c r="S92" s="222"/>
      <c r="T92" s="222"/>
      <c r="U92" s="222"/>
      <c r="V92" s="222"/>
      <c r="W92" s="222"/>
      <c r="X92" s="222"/>
      <c r="Y92" s="222"/>
    </row>
    <row r="93" spans="9:25" s="276" customFormat="1">
      <c r="I93" s="222"/>
      <c r="J93" s="222"/>
      <c r="K93" s="222"/>
      <c r="L93" s="222"/>
      <c r="M93" s="222"/>
      <c r="N93" s="222"/>
      <c r="O93" s="222"/>
      <c r="P93" s="222"/>
      <c r="Q93" s="222"/>
      <c r="R93" s="222"/>
      <c r="S93" s="222"/>
      <c r="T93" s="222"/>
      <c r="U93" s="222"/>
      <c r="V93" s="222"/>
      <c r="W93" s="222"/>
      <c r="X93" s="222"/>
      <c r="Y93" s="222"/>
    </row>
    <row r="94" spans="9:25" s="276" customFormat="1">
      <c r="I94" s="222"/>
      <c r="J94" s="222"/>
      <c r="K94" s="222"/>
      <c r="L94" s="222"/>
      <c r="M94" s="222"/>
      <c r="N94" s="222"/>
      <c r="O94" s="222"/>
      <c r="P94" s="222"/>
      <c r="Q94" s="222"/>
      <c r="R94" s="222"/>
      <c r="S94" s="222"/>
      <c r="T94" s="222"/>
      <c r="U94" s="222"/>
      <c r="V94" s="222"/>
      <c r="W94" s="222"/>
      <c r="X94" s="222"/>
      <c r="Y94" s="222"/>
    </row>
    <row r="95" spans="9:25" s="276" customFormat="1">
      <c r="I95" s="222"/>
      <c r="J95" s="222"/>
      <c r="K95" s="222"/>
      <c r="L95" s="222"/>
      <c r="M95" s="222"/>
      <c r="N95" s="222"/>
      <c r="O95" s="222"/>
      <c r="P95" s="222"/>
      <c r="Q95" s="222"/>
      <c r="R95" s="222"/>
      <c r="S95" s="222"/>
      <c r="T95" s="222"/>
      <c r="U95" s="222"/>
      <c r="V95" s="222"/>
      <c r="W95" s="222"/>
      <c r="X95" s="222"/>
      <c r="Y95" s="222"/>
    </row>
    <row r="96" spans="9:25" s="276" customFormat="1">
      <c r="I96" s="222"/>
      <c r="J96" s="222"/>
      <c r="K96" s="222"/>
      <c r="L96" s="222"/>
      <c r="M96" s="222"/>
      <c r="N96" s="222"/>
      <c r="O96" s="222"/>
      <c r="P96" s="222"/>
      <c r="Q96" s="222"/>
      <c r="R96" s="222"/>
      <c r="S96" s="222"/>
      <c r="T96" s="222"/>
      <c r="U96" s="222"/>
      <c r="V96" s="222"/>
      <c r="W96" s="222"/>
      <c r="X96" s="222"/>
      <c r="Y96" s="222"/>
    </row>
    <row r="97" spans="9:25" s="276" customFormat="1">
      <c r="I97" s="222"/>
      <c r="J97" s="222"/>
      <c r="K97" s="222"/>
      <c r="L97" s="222"/>
      <c r="M97" s="222"/>
      <c r="N97" s="222"/>
      <c r="O97" s="222"/>
      <c r="P97" s="222"/>
      <c r="Q97" s="222"/>
      <c r="R97" s="222"/>
      <c r="S97" s="222"/>
      <c r="T97" s="222"/>
      <c r="U97" s="222"/>
      <c r="V97" s="222"/>
      <c r="W97" s="222"/>
      <c r="X97" s="222"/>
      <c r="Y97" s="222"/>
    </row>
    <row r="98" spans="9:25" s="276" customFormat="1">
      <c r="I98" s="222"/>
      <c r="J98" s="222"/>
      <c r="K98" s="222"/>
      <c r="L98" s="222"/>
      <c r="M98" s="222"/>
      <c r="N98" s="222"/>
      <c r="O98" s="222"/>
      <c r="P98" s="222"/>
      <c r="Q98" s="222"/>
      <c r="R98" s="222"/>
      <c r="S98" s="222"/>
      <c r="T98" s="222"/>
      <c r="U98" s="222"/>
      <c r="V98" s="222"/>
      <c r="W98" s="222"/>
      <c r="X98" s="222"/>
      <c r="Y98" s="222"/>
    </row>
    <row r="99" spans="9:25" s="276" customFormat="1">
      <c r="I99" s="222"/>
      <c r="J99" s="222"/>
      <c r="K99" s="222"/>
      <c r="L99" s="222"/>
      <c r="M99" s="222"/>
      <c r="N99" s="222"/>
      <c r="O99" s="222"/>
      <c r="P99" s="222"/>
      <c r="Q99" s="222"/>
      <c r="R99" s="222"/>
      <c r="S99" s="222"/>
      <c r="T99" s="222"/>
      <c r="U99" s="222"/>
      <c r="V99" s="222"/>
      <c r="W99" s="222"/>
      <c r="X99" s="222"/>
      <c r="Y99" s="222"/>
    </row>
    <row r="100" spans="9:25" s="276" customFormat="1">
      <c r="I100" s="222"/>
      <c r="J100" s="222"/>
      <c r="K100" s="222"/>
      <c r="L100" s="222"/>
      <c r="M100" s="222"/>
      <c r="N100" s="222"/>
      <c r="O100" s="222"/>
      <c r="P100" s="222"/>
      <c r="Q100" s="222"/>
      <c r="R100" s="222"/>
      <c r="S100" s="222"/>
      <c r="T100" s="222"/>
      <c r="U100" s="222"/>
      <c r="V100" s="222"/>
      <c r="W100" s="222"/>
      <c r="X100" s="222"/>
      <c r="Y100" s="222"/>
    </row>
    <row r="101" spans="9:25" s="276" customFormat="1">
      <c r="I101" s="222"/>
      <c r="J101" s="222"/>
      <c r="K101" s="222"/>
      <c r="L101" s="222"/>
      <c r="M101" s="222"/>
      <c r="N101" s="222"/>
      <c r="O101" s="222"/>
      <c r="P101" s="222"/>
      <c r="Q101" s="222"/>
      <c r="R101" s="222"/>
      <c r="S101" s="222"/>
      <c r="T101" s="222"/>
      <c r="U101" s="222"/>
      <c r="V101" s="222"/>
      <c r="W101" s="222"/>
      <c r="X101" s="222"/>
      <c r="Y101" s="222"/>
    </row>
    <row r="102" spans="9:25" s="276" customFormat="1">
      <c r="I102" s="222"/>
      <c r="J102" s="222"/>
      <c r="K102" s="222"/>
      <c r="L102" s="222"/>
      <c r="M102" s="222"/>
      <c r="N102" s="222"/>
      <c r="O102" s="222"/>
      <c r="P102" s="222"/>
      <c r="Q102" s="222"/>
      <c r="R102" s="222"/>
      <c r="S102" s="222"/>
      <c r="T102" s="222"/>
      <c r="U102" s="222"/>
      <c r="V102" s="222"/>
      <c r="W102" s="222"/>
      <c r="X102" s="222"/>
      <c r="Y102" s="222"/>
    </row>
    <row r="103" spans="9:25" s="276" customFormat="1">
      <c r="I103" s="222"/>
      <c r="J103" s="222"/>
      <c r="K103" s="222"/>
      <c r="L103" s="222"/>
      <c r="M103" s="222"/>
      <c r="N103" s="222"/>
      <c r="O103" s="222"/>
      <c r="P103" s="222"/>
      <c r="Q103" s="222"/>
      <c r="R103" s="222"/>
      <c r="S103" s="222"/>
      <c r="T103" s="222"/>
      <c r="U103" s="222"/>
      <c r="V103" s="222"/>
      <c r="W103" s="222"/>
      <c r="X103" s="222"/>
      <c r="Y103" s="222"/>
    </row>
    <row r="104" spans="9:25" s="276" customFormat="1">
      <c r="I104" s="222"/>
      <c r="J104" s="222"/>
      <c r="K104" s="222"/>
      <c r="L104" s="222"/>
      <c r="M104" s="222"/>
      <c r="N104" s="222"/>
      <c r="O104" s="222"/>
      <c r="P104" s="222"/>
      <c r="Q104" s="222"/>
      <c r="R104" s="222"/>
      <c r="S104" s="222"/>
      <c r="T104" s="222"/>
      <c r="U104" s="222"/>
      <c r="V104" s="222"/>
      <c r="W104" s="222"/>
      <c r="X104" s="222"/>
      <c r="Y104" s="222"/>
    </row>
    <row r="105" spans="9:25" s="276" customFormat="1">
      <c r="I105" s="222"/>
      <c r="J105" s="222"/>
      <c r="K105" s="222"/>
      <c r="L105" s="222"/>
      <c r="M105" s="222"/>
      <c r="N105" s="222"/>
      <c r="O105" s="222"/>
      <c r="P105" s="222"/>
      <c r="Q105" s="222"/>
      <c r="R105" s="222"/>
      <c r="S105" s="222"/>
      <c r="T105" s="222"/>
      <c r="U105" s="222"/>
      <c r="V105" s="222"/>
      <c r="W105" s="222"/>
      <c r="X105" s="222"/>
      <c r="Y105" s="222"/>
    </row>
    <row r="106" spans="9:25" s="276" customFormat="1">
      <c r="I106" s="222"/>
      <c r="J106" s="222"/>
      <c r="K106" s="222"/>
      <c r="L106" s="222"/>
      <c r="M106" s="222"/>
      <c r="N106" s="222"/>
      <c r="O106" s="222"/>
      <c r="P106" s="222"/>
      <c r="Q106" s="222"/>
      <c r="R106" s="222"/>
      <c r="S106" s="222"/>
      <c r="T106" s="222"/>
      <c r="U106" s="222"/>
      <c r="V106" s="222"/>
      <c r="W106" s="222"/>
      <c r="X106" s="222"/>
      <c r="Y106" s="222"/>
    </row>
    <row r="107" spans="9:25" s="276" customFormat="1">
      <c r="I107" s="222"/>
      <c r="J107" s="222"/>
      <c r="K107" s="222"/>
      <c r="L107" s="222"/>
      <c r="M107" s="222"/>
      <c r="N107" s="222"/>
      <c r="O107" s="222"/>
      <c r="P107" s="222"/>
      <c r="Q107" s="222"/>
      <c r="R107" s="222"/>
      <c r="S107" s="222"/>
      <c r="T107" s="222"/>
      <c r="U107" s="222"/>
      <c r="V107" s="222"/>
      <c r="W107" s="222"/>
      <c r="X107" s="222"/>
      <c r="Y107" s="222"/>
    </row>
    <row r="108" spans="9:25" s="276" customFormat="1">
      <c r="I108" s="222"/>
      <c r="J108" s="222"/>
      <c r="K108" s="222"/>
      <c r="L108" s="222"/>
      <c r="M108" s="222"/>
      <c r="N108" s="222"/>
      <c r="O108" s="222"/>
      <c r="P108" s="222"/>
      <c r="Q108" s="222"/>
      <c r="R108" s="222"/>
      <c r="S108" s="222"/>
      <c r="T108" s="222"/>
      <c r="U108" s="222"/>
      <c r="V108" s="222"/>
      <c r="W108" s="222"/>
      <c r="X108" s="222"/>
      <c r="Y108" s="222"/>
    </row>
    <row r="109" spans="9:25" s="276" customFormat="1">
      <c r="I109" s="222"/>
      <c r="J109" s="222"/>
      <c r="K109" s="222"/>
      <c r="L109" s="222"/>
      <c r="M109" s="222"/>
      <c r="N109" s="222"/>
      <c r="O109" s="222"/>
      <c r="P109" s="222"/>
      <c r="Q109" s="222"/>
      <c r="R109" s="222"/>
      <c r="S109" s="222"/>
      <c r="T109" s="222"/>
      <c r="U109" s="222"/>
      <c r="V109" s="222"/>
      <c r="W109" s="222"/>
      <c r="X109" s="222"/>
      <c r="Y109" s="222"/>
    </row>
    <row r="110" spans="9:25" s="276" customFormat="1">
      <c r="I110" s="222"/>
      <c r="J110" s="222"/>
      <c r="K110" s="222"/>
      <c r="L110" s="222"/>
      <c r="M110" s="222"/>
      <c r="N110" s="222"/>
      <c r="O110" s="222"/>
      <c r="P110" s="222"/>
      <c r="Q110" s="222"/>
      <c r="R110" s="222"/>
      <c r="S110" s="222"/>
      <c r="T110" s="222"/>
      <c r="U110" s="222"/>
      <c r="V110" s="222"/>
      <c r="W110" s="222"/>
      <c r="X110" s="222"/>
      <c r="Y110" s="222"/>
    </row>
    <row r="111" spans="9:25" s="276" customFormat="1">
      <c r="I111" s="222"/>
      <c r="J111" s="222"/>
      <c r="K111" s="222"/>
      <c r="L111" s="222"/>
      <c r="M111" s="222"/>
      <c r="N111" s="222"/>
      <c r="O111" s="222"/>
      <c r="P111" s="222"/>
      <c r="Q111" s="222"/>
      <c r="R111" s="222"/>
      <c r="S111" s="222"/>
      <c r="T111" s="222"/>
      <c r="U111" s="222"/>
      <c r="V111" s="222"/>
      <c r="W111" s="222"/>
      <c r="X111" s="222"/>
      <c r="Y111" s="222"/>
    </row>
    <row r="112" spans="9:25" s="276" customFormat="1">
      <c r="I112" s="222"/>
      <c r="J112" s="222"/>
      <c r="K112" s="222"/>
      <c r="L112" s="222"/>
      <c r="M112" s="222"/>
      <c r="N112" s="222"/>
      <c r="O112" s="222"/>
      <c r="P112" s="222"/>
      <c r="Q112" s="222"/>
      <c r="R112" s="222"/>
      <c r="S112" s="222"/>
      <c r="T112" s="222"/>
      <c r="U112" s="222"/>
      <c r="V112" s="222"/>
      <c r="W112" s="222"/>
      <c r="X112" s="222"/>
      <c r="Y112" s="222"/>
    </row>
    <row r="113" spans="9:25" s="276" customFormat="1">
      <c r="I113" s="222"/>
      <c r="J113" s="222"/>
      <c r="K113" s="222"/>
      <c r="L113" s="222"/>
      <c r="M113" s="222"/>
      <c r="N113" s="222"/>
      <c r="O113" s="222"/>
      <c r="P113" s="222"/>
      <c r="Q113" s="222"/>
      <c r="R113" s="222"/>
      <c r="S113" s="222"/>
      <c r="T113" s="222"/>
      <c r="U113" s="222"/>
      <c r="V113" s="222"/>
      <c r="W113" s="222"/>
      <c r="X113" s="222"/>
      <c r="Y113" s="222"/>
    </row>
    <row r="114" spans="9:25" s="276" customFormat="1">
      <c r="I114" s="222"/>
      <c r="J114" s="222"/>
      <c r="K114" s="222"/>
      <c r="L114" s="222"/>
      <c r="M114" s="222"/>
      <c r="N114" s="222"/>
      <c r="O114" s="222"/>
      <c r="P114" s="222"/>
      <c r="Q114" s="222"/>
      <c r="R114" s="222"/>
      <c r="S114" s="222"/>
      <c r="T114" s="222"/>
      <c r="U114" s="222"/>
      <c r="V114" s="222"/>
      <c r="W114" s="222"/>
      <c r="X114" s="222"/>
      <c r="Y114" s="222"/>
    </row>
    <row r="115" spans="9:25" s="276" customFormat="1">
      <c r="I115" s="222"/>
      <c r="J115" s="222"/>
      <c r="K115" s="222"/>
      <c r="L115" s="222"/>
      <c r="M115" s="222"/>
      <c r="N115" s="222"/>
      <c r="O115" s="222"/>
      <c r="P115" s="222"/>
      <c r="Q115" s="222"/>
      <c r="R115" s="222"/>
      <c r="S115" s="222"/>
      <c r="T115" s="222"/>
      <c r="U115" s="222"/>
      <c r="V115" s="222"/>
      <c r="W115" s="222"/>
      <c r="X115" s="222"/>
      <c r="Y115" s="222"/>
    </row>
    <row r="116" spans="9:25" s="276" customFormat="1">
      <c r="I116" s="222"/>
      <c r="J116" s="222"/>
      <c r="K116" s="222"/>
      <c r="L116" s="222"/>
      <c r="M116" s="222"/>
      <c r="N116" s="222"/>
      <c r="O116" s="222"/>
      <c r="P116" s="222"/>
      <c r="Q116" s="222"/>
      <c r="R116" s="222"/>
      <c r="S116" s="222"/>
      <c r="T116" s="222"/>
      <c r="U116" s="222"/>
      <c r="V116" s="222"/>
      <c r="W116" s="222"/>
      <c r="X116" s="222"/>
      <c r="Y116" s="222"/>
    </row>
    <row r="117" spans="9:25" s="276" customFormat="1">
      <c r="I117" s="222"/>
      <c r="J117" s="222"/>
      <c r="K117" s="222"/>
      <c r="L117" s="222"/>
      <c r="M117" s="222"/>
      <c r="N117" s="222"/>
      <c r="O117" s="222"/>
      <c r="P117" s="222"/>
      <c r="Q117" s="222"/>
      <c r="R117" s="222"/>
      <c r="S117" s="222"/>
      <c r="T117" s="222"/>
      <c r="U117" s="222"/>
      <c r="V117" s="222"/>
      <c r="W117" s="222"/>
      <c r="X117" s="222"/>
      <c r="Y117" s="222"/>
    </row>
    <row r="118" spans="9:25" s="276" customFormat="1">
      <c r="I118" s="222"/>
      <c r="J118" s="222"/>
      <c r="K118" s="222"/>
      <c r="L118" s="222"/>
      <c r="M118" s="222"/>
      <c r="N118" s="222"/>
      <c r="O118" s="222"/>
      <c r="P118" s="222"/>
      <c r="Q118" s="222"/>
      <c r="R118" s="222"/>
      <c r="S118" s="222"/>
      <c r="T118" s="222"/>
      <c r="U118" s="222"/>
      <c r="V118" s="222"/>
      <c r="W118" s="222"/>
      <c r="X118" s="222"/>
      <c r="Y118" s="222"/>
    </row>
    <row r="119" spans="9:25" s="276" customFormat="1">
      <c r="I119" s="222"/>
      <c r="J119" s="222"/>
      <c r="K119" s="222"/>
      <c r="L119" s="222"/>
      <c r="M119" s="222"/>
      <c r="N119" s="222"/>
      <c r="O119" s="222"/>
      <c r="P119" s="222"/>
      <c r="Q119" s="222"/>
      <c r="R119" s="222"/>
      <c r="S119" s="222"/>
      <c r="T119" s="222"/>
      <c r="U119" s="222"/>
      <c r="V119" s="222"/>
      <c r="W119" s="222"/>
      <c r="X119" s="222"/>
      <c r="Y119" s="222"/>
    </row>
    <row r="120" spans="9:25" s="276" customFormat="1">
      <c r="I120" s="222"/>
      <c r="J120" s="222"/>
      <c r="K120" s="222"/>
      <c r="L120" s="222"/>
      <c r="M120" s="222"/>
      <c r="N120" s="222"/>
      <c r="O120" s="222"/>
      <c r="P120" s="222"/>
      <c r="Q120" s="222"/>
      <c r="R120" s="222"/>
      <c r="S120" s="222"/>
      <c r="T120" s="222"/>
      <c r="U120" s="222"/>
      <c r="V120" s="222"/>
      <c r="W120" s="222"/>
      <c r="X120" s="222"/>
      <c r="Y120" s="222"/>
    </row>
    <row r="121" spans="9:25" s="276" customFormat="1">
      <c r="I121" s="222"/>
      <c r="J121" s="222"/>
      <c r="K121" s="222"/>
      <c r="L121" s="222"/>
      <c r="M121" s="222"/>
      <c r="N121" s="222"/>
      <c r="O121" s="222"/>
      <c r="P121" s="222"/>
      <c r="Q121" s="222"/>
      <c r="R121" s="222"/>
      <c r="S121" s="222"/>
      <c r="T121" s="222"/>
      <c r="U121" s="222"/>
      <c r="V121" s="222"/>
      <c r="W121" s="222"/>
      <c r="X121" s="222"/>
      <c r="Y121" s="222"/>
    </row>
    <row r="122" spans="9:25" s="276" customFormat="1">
      <c r="I122" s="222"/>
      <c r="J122" s="222"/>
      <c r="K122" s="222"/>
      <c r="L122" s="222"/>
      <c r="M122" s="222"/>
      <c r="N122" s="222"/>
      <c r="O122" s="222"/>
      <c r="P122" s="222"/>
      <c r="Q122" s="222"/>
      <c r="R122" s="222"/>
      <c r="S122" s="222"/>
      <c r="T122" s="222"/>
      <c r="U122" s="222"/>
      <c r="V122" s="222"/>
      <c r="W122" s="222"/>
      <c r="X122" s="222"/>
      <c r="Y122" s="222"/>
    </row>
    <row r="123" spans="9:25" s="276" customFormat="1">
      <c r="I123" s="222"/>
      <c r="J123" s="222"/>
      <c r="K123" s="222"/>
      <c r="L123" s="222"/>
      <c r="M123" s="222"/>
      <c r="N123" s="222"/>
      <c r="O123" s="222"/>
      <c r="P123" s="222"/>
      <c r="Q123" s="222"/>
      <c r="R123" s="222"/>
      <c r="S123" s="222"/>
      <c r="T123" s="222"/>
      <c r="U123" s="222"/>
      <c r="V123" s="222"/>
      <c r="W123" s="222"/>
      <c r="X123" s="222"/>
      <c r="Y123" s="222"/>
    </row>
    <row r="124" spans="9:25" s="276" customFormat="1">
      <c r="I124" s="222"/>
      <c r="J124" s="222"/>
      <c r="K124" s="222"/>
      <c r="L124" s="222"/>
      <c r="M124" s="222"/>
      <c r="N124" s="222"/>
      <c r="O124" s="222"/>
      <c r="P124" s="222"/>
      <c r="Q124" s="222"/>
      <c r="R124" s="222"/>
      <c r="S124" s="222"/>
      <c r="T124" s="222"/>
      <c r="U124" s="222"/>
      <c r="V124" s="222"/>
      <c r="W124" s="222"/>
      <c r="X124" s="222"/>
      <c r="Y124" s="222"/>
    </row>
    <row r="125" spans="9:25" s="276" customFormat="1">
      <c r="I125" s="222"/>
      <c r="J125" s="222"/>
      <c r="K125" s="222"/>
      <c r="L125" s="222"/>
      <c r="M125" s="222"/>
      <c r="N125" s="222"/>
      <c r="O125" s="222"/>
      <c r="P125" s="222"/>
      <c r="Q125" s="222"/>
      <c r="R125" s="222"/>
      <c r="S125" s="222"/>
      <c r="T125" s="222"/>
      <c r="U125" s="222"/>
      <c r="V125" s="222"/>
      <c r="W125" s="222"/>
      <c r="X125" s="222"/>
      <c r="Y125" s="222"/>
    </row>
    <row r="126" spans="9:25" s="276" customFormat="1">
      <c r="I126" s="222"/>
      <c r="J126" s="222"/>
      <c r="K126" s="222"/>
      <c r="L126" s="222"/>
      <c r="M126" s="222"/>
      <c r="N126" s="222"/>
      <c r="O126" s="222"/>
      <c r="P126" s="222"/>
      <c r="Q126" s="222"/>
      <c r="R126" s="222"/>
      <c r="S126" s="222"/>
      <c r="T126" s="222"/>
      <c r="U126" s="222"/>
      <c r="V126" s="222"/>
      <c r="W126" s="222"/>
      <c r="X126" s="222"/>
      <c r="Y126" s="222"/>
    </row>
    <row r="127" spans="9:25" s="276" customFormat="1">
      <c r="I127" s="222"/>
      <c r="J127" s="222"/>
      <c r="K127" s="222"/>
      <c r="L127" s="222"/>
      <c r="M127" s="222"/>
      <c r="N127" s="222"/>
      <c r="O127" s="222"/>
      <c r="P127" s="222"/>
      <c r="Q127" s="222"/>
      <c r="R127" s="222"/>
      <c r="S127" s="222"/>
      <c r="T127" s="222"/>
      <c r="U127" s="222"/>
      <c r="V127" s="222"/>
      <c r="W127" s="222"/>
      <c r="X127" s="222"/>
      <c r="Y127" s="222"/>
    </row>
    <row r="128" spans="9:25" s="276" customFormat="1">
      <c r="I128" s="222"/>
      <c r="J128" s="222"/>
      <c r="K128" s="222"/>
      <c r="L128" s="222"/>
      <c r="M128" s="222"/>
      <c r="N128" s="222"/>
      <c r="O128" s="222"/>
      <c r="P128" s="222"/>
      <c r="Q128" s="222"/>
      <c r="R128" s="222"/>
      <c r="S128" s="222"/>
      <c r="T128" s="222"/>
      <c r="U128" s="222"/>
      <c r="V128" s="222"/>
      <c r="W128" s="222"/>
      <c r="X128" s="222"/>
      <c r="Y128" s="222"/>
    </row>
    <row r="129" spans="9:25" s="276" customFormat="1">
      <c r="I129" s="222"/>
      <c r="J129" s="222"/>
      <c r="K129" s="222"/>
      <c r="L129" s="222"/>
      <c r="M129" s="222"/>
      <c r="N129" s="222"/>
      <c r="O129" s="222"/>
      <c r="P129" s="222"/>
      <c r="Q129" s="222"/>
      <c r="R129" s="222"/>
      <c r="S129" s="222"/>
      <c r="T129" s="222"/>
      <c r="U129" s="222"/>
      <c r="V129" s="222"/>
      <c r="W129" s="222"/>
      <c r="X129" s="222"/>
      <c r="Y129" s="222"/>
    </row>
    <row r="130" spans="9:25" s="276" customFormat="1">
      <c r="I130" s="222"/>
      <c r="J130" s="222"/>
      <c r="K130" s="222"/>
      <c r="L130" s="222"/>
      <c r="M130" s="222"/>
      <c r="N130" s="222"/>
      <c r="O130" s="222"/>
      <c r="P130" s="222"/>
      <c r="Q130" s="222"/>
      <c r="R130" s="222"/>
      <c r="S130" s="222"/>
      <c r="T130" s="222"/>
      <c r="U130" s="222"/>
      <c r="V130" s="222"/>
      <c r="W130" s="222"/>
      <c r="X130" s="222"/>
      <c r="Y130" s="222"/>
    </row>
    <row r="131" spans="9:25" s="276" customFormat="1">
      <c r="I131" s="222"/>
      <c r="J131" s="222"/>
      <c r="K131" s="222"/>
      <c r="L131" s="222"/>
      <c r="M131" s="222"/>
      <c r="N131" s="222"/>
      <c r="O131" s="222"/>
      <c r="P131" s="222"/>
      <c r="Q131" s="222"/>
      <c r="R131" s="222"/>
      <c r="S131" s="222"/>
      <c r="T131" s="222"/>
      <c r="U131" s="222"/>
      <c r="V131" s="222"/>
      <c r="W131" s="222"/>
      <c r="X131" s="222"/>
      <c r="Y131" s="222"/>
    </row>
    <row r="132" spans="9:25" s="276" customFormat="1">
      <c r="I132" s="222"/>
      <c r="J132" s="222"/>
      <c r="K132" s="222"/>
      <c r="L132" s="222"/>
      <c r="M132" s="222"/>
      <c r="N132" s="222"/>
      <c r="O132" s="222"/>
      <c r="P132" s="222"/>
      <c r="Q132" s="222"/>
      <c r="R132" s="222"/>
      <c r="S132" s="222"/>
      <c r="T132" s="222"/>
      <c r="U132" s="222"/>
      <c r="V132" s="222"/>
      <c r="W132" s="222"/>
      <c r="X132" s="222"/>
      <c r="Y132" s="222"/>
    </row>
    <row r="133" spans="9:25" s="276" customFormat="1">
      <c r="I133" s="222"/>
      <c r="J133" s="222"/>
      <c r="K133" s="222"/>
      <c r="L133" s="222"/>
      <c r="M133" s="222"/>
      <c r="N133" s="222"/>
      <c r="O133" s="222"/>
      <c r="P133" s="222"/>
      <c r="Q133" s="222"/>
      <c r="R133" s="222"/>
      <c r="S133" s="222"/>
      <c r="T133" s="222"/>
      <c r="U133" s="222"/>
      <c r="V133" s="222"/>
      <c r="W133" s="222"/>
      <c r="X133" s="222"/>
      <c r="Y133" s="222"/>
    </row>
    <row r="134" spans="9:25" s="276" customFormat="1">
      <c r="I134" s="222"/>
      <c r="J134" s="222"/>
      <c r="K134" s="222"/>
      <c r="L134" s="222"/>
      <c r="M134" s="222"/>
      <c r="N134" s="222"/>
      <c r="O134" s="222"/>
      <c r="P134" s="222"/>
      <c r="Q134" s="222"/>
      <c r="R134" s="222"/>
      <c r="S134" s="222"/>
      <c r="T134" s="222"/>
      <c r="U134" s="222"/>
      <c r="V134" s="222"/>
      <c r="W134" s="222"/>
      <c r="X134" s="222"/>
      <c r="Y134" s="222"/>
    </row>
    <row r="135" spans="9:25" s="276" customFormat="1">
      <c r="I135" s="222"/>
      <c r="J135" s="222"/>
      <c r="K135" s="222"/>
      <c r="L135" s="222"/>
      <c r="M135" s="222"/>
      <c r="N135" s="222"/>
      <c r="O135" s="222"/>
      <c r="P135" s="222"/>
      <c r="Q135" s="222"/>
      <c r="R135" s="222"/>
      <c r="S135" s="222"/>
      <c r="T135" s="222"/>
      <c r="U135" s="222"/>
      <c r="V135" s="222"/>
      <c r="W135" s="222"/>
      <c r="X135" s="222"/>
      <c r="Y135" s="222"/>
    </row>
    <row r="136" spans="9:25" s="276" customFormat="1">
      <c r="I136" s="222"/>
      <c r="J136" s="222"/>
      <c r="K136" s="222"/>
      <c r="L136" s="222"/>
      <c r="M136" s="222"/>
      <c r="N136" s="222"/>
      <c r="O136" s="222"/>
      <c r="P136" s="222"/>
      <c r="Q136" s="222"/>
      <c r="R136" s="222"/>
      <c r="S136" s="222"/>
      <c r="T136" s="222"/>
      <c r="U136" s="222"/>
      <c r="V136" s="222"/>
      <c r="W136" s="222"/>
      <c r="X136" s="222"/>
      <c r="Y136" s="222"/>
    </row>
    <row r="137" spans="9:25" s="276" customFormat="1">
      <c r="I137" s="222"/>
      <c r="J137" s="222"/>
      <c r="K137" s="222"/>
      <c r="L137" s="222"/>
      <c r="M137" s="222"/>
      <c r="N137" s="222"/>
      <c r="O137" s="222"/>
      <c r="P137" s="222"/>
      <c r="Q137" s="222"/>
      <c r="R137" s="222"/>
      <c r="S137" s="222"/>
      <c r="T137" s="222"/>
      <c r="U137" s="222"/>
      <c r="V137" s="222"/>
      <c r="W137" s="222"/>
      <c r="X137" s="222"/>
      <c r="Y137" s="222"/>
    </row>
    <row r="138" spans="9:25" s="276" customFormat="1">
      <c r="I138" s="222"/>
      <c r="J138" s="222"/>
      <c r="K138" s="222"/>
      <c r="L138" s="222"/>
      <c r="M138" s="222"/>
      <c r="N138" s="222"/>
      <c r="O138" s="222"/>
      <c r="P138" s="222"/>
      <c r="Q138" s="222"/>
      <c r="R138" s="222"/>
      <c r="S138" s="222"/>
      <c r="T138" s="222"/>
      <c r="U138" s="222"/>
      <c r="V138" s="222"/>
      <c r="W138" s="222"/>
      <c r="X138" s="222"/>
      <c r="Y138" s="222"/>
    </row>
    <row r="139" spans="9:25" s="276" customFormat="1">
      <c r="I139" s="222"/>
      <c r="J139" s="222"/>
      <c r="K139" s="222"/>
      <c r="L139" s="222"/>
      <c r="M139" s="222"/>
      <c r="N139" s="222"/>
      <c r="O139" s="222"/>
      <c r="P139" s="222"/>
      <c r="Q139" s="222"/>
      <c r="R139" s="222"/>
      <c r="S139" s="222"/>
      <c r="T139" s="222"/>
      <c r="U139" s="222"/>
      <c r="V139" s="222"/>
      <c r="W139" s="222"/>
      <c r="X139" s="222"/>
      <c r="Y139" s="222"/>
    </row>
    <row r="140" spans="9:25" s="276" customFormat="1">
      <c r="I140" s="222"/>
      <c r="J140" s="222"/>
      <c r="K140" s="222"/>
      <c r="L140" s="222"/>
      <c r="M140" s="222"/>
      <c r="N140" s="222"/>
      <c r="O140" s="222"/>
      <c r="P140" s="222"/>
      <c r="Q140" s="222"/>
      <c r="R140" s="222"/>
      <c r="S140" s="222"/>
      <c r="T140" s="222"/>
      <c r="U140" s="222"/>
      <c r="V140" s="222"/>
      <c r="W140" s="222"/>
      <c r="X140" s="222"/>
      <c r="Y140" s="222"/>
    </row>
    <row r="141" spans="9:25" s="276" customFormat="1">
      <c r="I141" s="222"/>
      <c r="J141" s="222"/>
      <c r="K141" s="222"/>
      <c r="L141" s="222"/>
      <c r="M141" s="222"/>
      <c r="N141" s="222"/>
      <c r="O141" s="222"/>
      <c r="P141" s="222"/>
      <c r="Q141" s="222"/>
      <c r="R141" s="222"/>
      <c r="S141" s="222"/>
      <c r="T141" s="222"/>
      <c r="U141" s="222"/>
      <c r="V141" s="222"/>
      <c r="W141" s="222"/>
      <c r="X141" s="222"/>
      <c r="Y141" s="222"/>
    </row>
    <row r="142" spans="9:25" s="276" customFormat="1">
      <c r="I142" s="222"/>
      <c r="J142" s="222"/>
      <c r="K142" s="222"/>
      <c r="L142" s="222"/>
      <c r="M142" s="222"/>
      <c r="N142" s="222"/>
      <c r="O142" s="222"/>
      <c r="P142" s="222"/>
      <c r="Q142" s="222"/>
      <c r="R142" s="222"/>
      <c r="S142" s="222"/>
      <c r="T142" s="222"/>
      <c r="U142" s="222"/>
      <c r="V142" s="222"/>
      <c r="W142" s="222"/>
      <c r="X142" s="222"/>
      <c r="Y142" s="222"/>
    </row>
    <row r="143" spans="9:25" s="276" customFormat="1">
      <c r="I143" s="222"/>
      <c r="J143" s="222"/>
      <c r="K143" s="222"/>
      <c r="L143" s="222"/>
      <c r="M143" s="222"/>
      <c r="N143" s="222"/>
      <c r="O143" s="222"/>
      <c r="P143" s="222"/>
      <c r="Q143" s="222"/>
      <c r="R143" s="222"/>
      <c r="S143" s="222"/>
      <c r="T143" s="222"/>
      <c r="U143" s="222"/>
      <c r="V143" s="222"/>
      <c r="W143" s="222"/>
      <c r="X143" s="222"/>
      <c r="Y143" s="222"/>
    </row>
    <row r="144" spans="9:25" s="276" customFormat="1">
      <c r="I144" s="222"/>
      <c r="J144" s="222"/>
      <c r="K144" s="222"/>
      <c r="L144" s="222"/>
      <c r="M144" s="222"/>
      <c r="N144" s="222"/>
      <c r="O144" s="222"/>
      <c r="P144" s="222"/>
      <c r="Q144" s="222"/>
      <c r="R144" s="222"/>
      <c r="S144" s="222"/>
      <c r="T144" s="222"/>
      <c r="U144" s="222"/>
      <c r="V144" s="222"/>
      <c r="W144" s="222"/>
      <c r="X144" s="222"/>
      <c r="Y144" s="222"/>
    </row>
    <row r="145" spans="9:25" s="276" customFormat="1">
      <c r="I145" s="222"/>
      <c r="J145" s="222"/>
      <c r="K145" s="222"/>
      <c r="L145" s="222"/>
      <c r="M145" s="222"/>
      <c r="N145" s="222"/>
      <c r="O145" s="222"/>
      <c r="P145" s="222"/>
      <c r="Q145" s="222"/>
      <c r="R145" s="222"/>
      <c r="S145" s="222"/>
      <c r="T145" s="222"/>
      <c r="U145" s="222"/>
      <c r="V145" s="222"/>
      <c r="W145" s="222"/>
      <c r="X145" s="222"/>
      <c r="Y145" s="222"/>
    </row>
    <row r="146" spans="9:25" s="276" customFormat="1">
      <c r="I146" s="222"/>
      <c r="J146" s="222"/>
      <c r="K146" s="222"/>
      <c r="L146" s="222"/>
      <c r="M146" s="222"/>
      <c r="N146" s="222"/>
      <c r="O146" s="222"/>
      <c r="P146" s="222"/>
      <c r="Q146" s="222"/>
      <c r="R146" s="222"/>
      <c r="S146" s="222"/>
      <c r="T146" s="222"/>
      <c r="U146" s="222"/>
      <c r="V146" s="222"/>
      <c r="W146" s="222"/>
      <c r="X146" s="222"/>
      <c r="Y146" s="222"/>
    </row>
    <row r="147" spans="9:25" s="276" customFormat="1">
      <c r="I147" s="222"/>
      <c r="J147" s="222"/>
      <c r="K147" s="222"/>
      <c r="L147" s="222"/>
      <c r="M147" s="222"/>
      <c r="N147" s="222"/>
      <c r="O147" s="222"/>
      <c r="P147" s="222"/>
      <c r="Q147" s="222"/>
      <c r="R147" s="222"/>
      <c r="S147" s="222"/>
      <c r="T147" s="222"/>
      <c r="U147" s="222"/>
      <c r="V147" s="222"/>
      <c r="W147" s="222"/>
      <c r="X147" s="222"/>
      <c r="Y147" s="222"/>
    </row>
    <row r="148" spans="9:25" s="276" customFormat="1">
      <c r="I148" s="222"/>
      <c r="J148" s="222"/>
      <c r="K148" s="222"/>
      <c r="L148" s="222"/>
      <c r="M148" s="222"/>
      <c r="N148" s="222"/>
      <c r="O148" s="222"/>
      <c r="P148" s="222"/>
      <c r="Q148" s="222"/>
      <c r="R148" s="222"/>
      <c r="S148" s="222"/>
      <c r="T148" s="222"/>
      <c r="U148" s="222"/>
      <c r="V148" s="222"/>
      <c r="W148" s="222"/>
      <c r="X148" s="222"/>
      <c r="Y148" s="222"/>
    </row>
    <row r="149" spans="9:25" s="276" customFormat="1">
      <c r="I149" s="222"/>
      <c r="J149" s="222"/>
      <c r="K149" s="222"/>
      <c r="L149" s="222"/>
      <c r="M149" s="222"/>
      <c r="N149" s="222"/>
      <c r="O149" s="222"/>
      <c r="P149" s="222"/>
      <c r="Q149" s="222"/>
      <c r="R149" s="222"/>
      <c r="S149" s="222"/>
      <c r="T149" s="222"/>
      <c r="U149" s="222"/>
      <c r="V149" s="222"/>
      <c r="W149" s="222"/>
      <c r="X149" s="222"/>
      <c r="Y149" s="222"/>
    </row>
    <row r="150" spans="9:25" s="276" customFormat="1">
      <c r="I150" s="222"/>
      <c r="J150" s="222"/>
      <c r="K150" s="222"/>
      <c r="L150" s="222"/>
      <c r="M150" s="222"/>
      <c r="N150" s="222"/>
      <c r="O150" s="222"/>
      <c r="P150" s="222"/>
      <c r="Q150" s="222"/>
      <c r="R150" s="222"/>
      <c r="S150" s="222"/>
      <c r="T150" s="222"/>
      <c r="U150" s="222"/>
      <c r="V150" s="222"/>
      <c r="W150" s="222"/>
      <c r="X150" s="222"/>
      <c r="Y150" s="222"/>
    </row>
    <row r="151" spans="9:25" s="276" customFormat="1">
      <c r="I151" s="222"/>
      <c r="J151" s="222"/>
      <c r="K151" s="222"/>
      <c r="L151" s="222"/>
      <c r="M151" s="222"/>
      <c r="N151" s="222"/>
      <c r="O151" s="222"/>
      <c r="P151" s="222"/>
      <c r="Q151" s="222"/>
      <c r="R151" s="222"/>
      <c r="S151" s="222"/>
      <c r="T151" s="222"/>
      <c r="U151" s="222"/>
      <c r="V151" s="222"/>
      <c r="W151" s="222"/>
      <c r="X151" s="222"/>
      <c r="Y151" s="222"/>
    </row>
    <row r="152" spans="9:25" s="276" customFormat="1">
      <c r="I152" s="222"/>
      <c r="J152" s="222"/>
      <c r="K152" s="222"/>
      <c r="L152" s="222"/>
      <c r="M152" s="222"/>
      <c r="N152" s="222"/>
      <c r="O152" s="222"/>
      <c r="P152" s="222"/>
      <c r="Q152" s="222"/>
      <c r="R152" s="222"/>
      <c r="S152" s="222"/>
      <c r="T152" s="222"/>
      <c r="U152" s="222"/>
      <c r="V152" s="222"/>
      <c r="W152" s="222"/>
      <c r="X152" s="222"/>
      <c r="Y152" s="222"/>
    </row>
    <row r="153" spans="9:25" s="276" customFormat="1">
      <c r="I153" s="222"/>
      <c r="J153" s="222"/>
      <c r="K153" s="222"/>
      <c r="L153" s="222"/>
      <c r="M153" s="222"/>
      <c r="N153" s="222"/>
      <c r="O153" s="222"/>
      <c r="P153" s="222"/>
      <c r="Q153" s="222"/>
      <c r="R153" s="222"/>
      <c r="S153" s="222"/>
      <c r="T153" s="222"/>
      <c r="U153" s="222"/>
      <c r="V153" s="222"/>
      <c r="W153" s="222"/>
      <c r="X153" s="222"/>
      <c r="Y153" s="222"/>
    </row>
    <row r="154" spans="9:25" s="276" customFormat="1">
      <c r="I154" s="222"/>
      <c r="J154" s="222"/>
      <c r="K154" s="222"/>
      <c r="L154" s="222"/>
      <c r="M154" s="222"/>
      <c r="N154" s="222"/>
      <c r="O154" s="222"/>
      <c r="P154" s="222"/>
      <c r="Q154" s="222"/>
      <c r="R154" s="222"/>
      <c r="S154" s="222"/>
      <c r="T154" s="222"/>
      <c r="U154" s="222"/>
      <c r="V154" s="222"/>
      <c r="W154" s="222"/>
      <c r="X154" s="222"/>
      <c r="Y154" s="222"/>
    </row>
    <row r="155" spans="9:25" s="276" customFormat="1">
      <c r="I155" s="222"/>
      <c r="J155" s="222"/>
      <c r="K155" s="222"/>
      <c r="L155" s="222"/>
      <c r="M155" s="222"/>
      <c r="N155" s="222"/>
      <c r="O155" s="222"/>
      <c r="P155" s="222"/>
      <c r="Q155" s="222"/>
      <c r="R155" s="222"/>
      <c r="S155" s="222"/>
      <c r="T155" s="222"/>
      <c r="U155" s="222"/>
      <c r="V155" s="222"/>
      <c r="W155" s="222"/>
      <c r="X155" s="222"/>
      <c r="Y155" s="222"/>
    </row>
    <row r="156" spans="9:25" s="276" customFormat="1">
      <c r="I156" s="222"/>
      <c r="J156" s="222"/>
      <c r="K156" s="222"/>
      <c r="L156" s="222"/>
      <c r="M156" s="222"/>
      <c r="N156" s="222"/>
      <c r="O156" s="222"/>
      <c r="P156" s="222"/>
      <c r="Q156" s="222"/>
      <c r="R156" s="222"/>
      <c r="S156" s="222"/>
      <c r="T156" s="222"/>
      <c r="U156" s="222"/>
      <c r="V156" s="222"/>
      <c r="W156" s="222"/>
      <c r="X156" s="222"/>
      <c r="Y156" s="222"/>
    </row>
    <row r="157" spans="9:25" s="276" customFormat="1">
      <c r="I157" s="222"/>
      <c r="J157" s="222"/>
      <c r="K157" s="222"/>
      <c r="L157" s="222"/>
      <c r="M157" s="222"/>
      <c r="N157" s="222"/>
      <c r="O157" s="222"/>
      <c r="P157" s="222"/>
      <c r="Q157" s="222"/>
      <c r="R157" s="222"/>
      <c r="S157" s="222"/>
      <c r="T157" s="222"/>
      <c r="U157" s="222"/>
      <c r="V157" s="222"/>
      <c r="W157" s="222"/>
      <c r="X157" s="222"/>
      <c r="Y157" s="222"/>
    </row>
    <row r="158" spans="9:25" s="276" customFormat="1">
      <c r="I158" s="222"/>
      <c r="J158" s="222"/>
      <c r="K158" s="222"/>
      <c r="L158" s="222"/>
      <c r="M158" s="222"/>
      <c r="N158" s="222"/>
      <c r="O158" s="222"/>
      <c r="P158" s="222"/>
      <c r="Q158" s="222"/>
      <c r="R158" s="222"/>
      <c r="S158" s="222"/>
      <c r="T158" s="222"/>
      <c r="U158" s="222"/>
      <c r="V158" s="222"/>
      <c r="W158" s="222"/>
      <c r="X158" s="222"/>
      <c r="Y158" s="222"/>
    </row>
    <row r="159" spans="9:25" s="276" customFormat="1">
      <c r="I159" s="222"/>
      <c r="J159" s="222"/>
      <c r="K159" s="222"/>
      <c r="L159" s="222"/>
      <c r="M159" s="222"/>
      <c r="N159" s="222"/>
      <c r="O159" s="222"/>
      <c r="P159" s="222"/>
      <c r="Q159" s="222"/>
      <c r="R159" s="222"/>
      <c r="S159" s="222"/>
      <c r="T159" s="222"/>
      <c r="U159" s="222"/>
      <c r="V159" s="222"/>
      <c r="W159" s="222"/>
      <c r="X159" s="222"/>
      <c r="Y159" s="222"/>
    </row>
    <row r="160" spans="9:25" s="276" customFormat="1">
      <c r="I160" s="222"/>
      <c r="J160" s="222"/>
      <c r="K160" s="222"/>
      <c r="L160" s="222"/>
      <c r="M160" s="222"/>
      <c r="N160" s="222"/>
      <c r="O160" s="222"/>
      <c r="P160" s="222"/>
      <c r="Q160" s="222"/>
      <c r="R160" s="222"/>
      <c r="S160" s="222"/>
      <c r="T160" s="222"/>
      <c r="U160" s="222"/>
      <c r="V160" s="222"/>
      <c r="W160" s="222"/>
      <c r="X160" s="222"/>
      <c r="Y160" s="222"/>
    </row>
    <row r="161" spans="9:25" s="276" customFormat="1">
      <c r="I161" s="222"/>
      <c r="J161" s="222"/>
      <c r="K161" s="222"/>
      <c r="L161" s="222"/>
      <c r="M161" s="222"/>
      <c r="N161" s="222"/>
      <c r="O161" s="222"/>
      <c r="P161" s="222"/>
      <c r="Q161" s="222"/>
      <c r="R161" s="222"/>
      <c r="S161" s="222"/>
      <c r="T161" s="222"/>
      <c r="U161" s="222"/>
      <c r="V161" s="222"/>
      <c r="W161" s="222"/>
      <c r="X161" s="222"/>
      <c r="Y161" s="222"/>
    </row>
    <row r="162" spans="9:25" s="276" customFormat="1">
      <c r="I162" s="222"/>
      <c r="J162" s="222"/>
      <c r="K162" s="222"/>
      <c r="L162" s="222"/>
      <c r="M162" s="222"/>
      <c r="N162" s="222"/>
      <c r="O162" s="222"/>
      <c r="P162" s="222"/>
      <c r="Q162" s="222"/>
      <c r="R162" s="222"/>
      <c r="S162" s="222"/>
      <c r="T162" s="222"/>
      <c r="U162" s="222"/>
      <c r="V162" s="222"/>
      <c r="W162" s="222"/>
      <c r="X162" s="222"/>
      <c r="Y162" s="222"/>
    </row>
    <row r="163" spans="9:25" s="276" customFormat="1">
      <c r="I163" s="222"/>
      <c r="J163" s="222"/>
      <c r="K163" s="222"/>
      <c r="L163" s="222"/>
      <c r="M163" s="222"/>
      <c r="N163" s="222"/>
      <c r="O163" s="222"/>
      <c r="P163" s="222"/>
      <c r="Q163" s="222"/>
      <c r="R163" s="222"/>
      <c r="S163" s="222"/>
      <c r="T163" s="222"/>
      <c r="U163" s="222"/>
      <c r="V163" s="222"/>
      <c r="W163" s="222"/>
      <c r="X163" s="222"/>
      <c r="Y163" s="222"/>
    </row>
    <row r="164" spans="9:25" s="276" customFormat="1">
      <c r="I164" s="222"/>
      <c r="J164" s="222"/>
      <c r="K164" s="222"/>
      <c r="L164" s="222"/>
      <c r="M164" s="222"/>
      <c r="N164" s="222"/>
      <c r="O164" s="222"/>
      <c r="P164" s="222"/>
      <c r="Q164" s="222"/>
      <c r="R164" s="222"/>
      <c r="S164" s="222"/>
      <c r="T164" s="222"/>
      <c r="U164" s="222"/>
      <c r="V164" s="222"/>
      <c r="W164" s="222"/>
      <c r="X164" s="222"/>
      <c r="Y164" s="222"/>
    </row>
    <row r="165" spans="9:25" s="276" customFormat="1">
      <c r="I165" s="222"/>
      <c r="J165" s="222"/>
      <c r="K165" s="222"/>
      <c r="L165" s="222"/>
      <c r="M165" s="222"/>
      <c r="N165" s="222"/>
      <c r="O165" s="222"/>
      <c r="P165" s="222"/>
      <c r="Q165" s="222"/>
      <c r="R165" s="222"/>
      <c r="S165" s="222"/>
      <c r="T165" s="222"/>
      <c r="U165" s="222"/>
      <c r="V165" s="222"/>
      <c r="W165" s="222"/>
      <c r="X165" s="222"/>
      <c r="Y165" s="222"/>
    </row>
    <row r="166" spans="9:25" s="276" customFormat="1">
      <c r="I166" s="222"/>
      <c r="J166" s="222"/>
      <c r="K166" s="222"/>
      <c r="L166" s="222"/>
      <c r="M166" s="222"/>
      <c r="N166" s="222"/>
      <c r="O166" s="222"/>
      <c r="P166" s="222"/>
      <c r="Q166" s="222"/>
      <c r="R166" s="222"/>
      <c r="S166" s="222"/>
      <c r="T166" s="222"/>
      <c r="U166" s="222"/>
      <c r="V166" s="222"/>
      <c r="W166" s="222"/>
      <c r="X166" s="222"/>
      <c r="Y166" s="222"/>
    </row>
    <row r="167" spans="9:25" s="276" customFormat="1">
      <c r="I167" s="222"/>
      <c r="J167" s="222"/>
      <c r="K167" s="222"/>
      <c r="L167" s="222"/>
      <c r="M167" s="222"/>
      <c r="N167" s="222"/>
      <c r="O167" s="222"/>
      <c r="P167" s="222"/>
      <c r="Q167" s="222"/>
      <c r="R167" s="222"/>
      <c r="S167" s="222"/>
      <c r="T167" s="222"/>
      <c r="U167" s="222"/>
      <c r="V167" s="222"/>
      <c r="W167" s="222"/>
      <c r="X167" s="222"/>
      <c r="Y167" s="222"/>
    </row>
    <row r="168" spans="9:25" s="276" customFormat="1">
      <c r="I168" s="222"/>
      <c r="J168" s="222"/>
      <c r="K168" s="222"/>
      <c r="L168" s="222"/>
      <c r="M168" s="222"/>
      <c r="N168" s="222"/>
      <c r="O168" s="222"/>
      <c r="P168" s="222"/>
      <c r="Q168" s="222"/>
      <c r="R168" s="222"/>
      <c r="S168" s="222"/>
      <c r="T168" s="222"/>
      <c r="U168" s="222"/>
      <c r="V168" s="222"/>
      <c r="W168" s="222"/>
      <c r="X168" s="222"/>
      <c r="Y168" s="222"/>
    </row>
    <row r="169" spans="9:25" s="276" customFormat="1">
      <c r="I169" s="222"/>
      <c r="J169" s="222"/>
      <c r="K169" s="222"/>
      <c r="L169" s="222"/>
      <c r="M169" s="222"/>
      <c r="N169" s="222"/>
      <c r="O169" s="222"/>
      <c r="P169" s="222"/>
      <c r="Q169" s="222"/>
      <c r="R169" s="222"/>
      <c r="S169" s="222"/>
      <c r="T169" s="222"/>
      <c r="U169" s="222"/>
      <c r="V169" s="222"/>
      <c r="W169" s="222"/>
      <c r="X169" s="222"/>
      <c r="Y169" s="222"/>
    </row>
    <row r="170" spans="9:25" s="276" customFormat="1">
      <c r="I170" s="222"/>
      <c r="J170" s="222"/>
      <c r="K170" s="222"/>
      <c r="L170" s="222"/>
      <c r="M170" s="222"/>
      <c r="N170" s="222"/>
      <c r="O170" s="222"/>
      <c r="P170" s="222"/>
      <c r="Q170" s="222"/>
      <c r="R170" s="222"/>
      <c r="S170" s="222"/>
      <c r="T170" s="222"/>
      <c r="U170" s="222"/>
      <c r="V170" s="222"/>
      <c r="W170" s="222"/>
      <c r="X170" s="222"/>
      <c r="Y170" s="222"/>
    </row>
    <row r="171" spans="9:25" s="276" customFormat="1">
      <c r="I171" s="222"/>
      <c r="J171" s="222"/>
      <c r="K171" s="222"/>
      <c r="L171" s="222"/>
      <c r="M171" s="222"/>
      <c r="N171" s="222"/>
      <c r="O171" s="222"/>
      <c r="P171" s="222"/>
      <c r="Q171" s="222"/>
      <c r="R171" s="222"/>
      <c r="S171" s="222"/>
      <c r="T171" s="222"/>
      <c r="U171" s="222"/>
      <c r="V171" s="222"/>
      <c r="W171" s="222"/>
      <c r="X171" s="222"/>
      <c r="Y171" s="222"/>
    </row>
    <row r="172" spans="9:25" s="276" customFormat="1">
      <c r="I172" s="222"/>
      <c r="J172" s="222"/>
      <c r="K172" s="222"/>
      <c r="L172" s="222"/>
      <c r="M172" s="222"/>
      <c r="N172" s="222"/>
      <c r="O172" s="222"/>
      <c r="P172" s="222"/>
      <c r="Q172" s="222"/>
      <c r="R172" s="222"/>
      <c r="S172" s="222"/>
      <c r="T172" s="222"/>
      <c r="U172" s="222"/>
      <c r="V172" s="222"/>
      <c r="W172" s="222"/>
      <c r="X172" s="222"/>
      <c r="Y172" s="222"/>
    </row>
    <row r="173" spans="9:25" s="276" customFormat="1">
      <c r="I173" s="222"/>
      <c r="J173" s="222"/>
      <c r="K173" s="222"/>
      <c r="L173" s="222"/>
      <c r="M173" s="222"/>
      <c r="N173" s="222"/>
      <c r="O173" s="222"/>
      <c r="P173" s="222"/>
      <c r="Q173" s="222"/>
      <c r="R173" s="222"/>
      <c r="S173" s="222"/>
      <c r="T173" s="222"/>
      <c r="U173" s="222"/>
      <c r="V173" s="222"/>
      <c r="W173" s="222"/>
      <c r="X173" s="222"/>
      <c r="Y173" s="222"/>
    </row>
    <row r="174" spans="9:25" s="276" customFormat="1">
      <c r="I174" s="222"/>
      <c r="J174" s="222"/>
      <c r="K174" s="222"/>
      <c r="L174" s="222"/>
      <c r="M174" s="222"/>
      <c r="N174" s="222"/>
      <c r="O174" s="222"/>
      <c r="P174" s="222"/>
      <c r="Q174" s="222"/>
      <c r="R174" s="222"/>
      <c r="S174" s="222"/>
      <c r="T174" s="222"/>
      <c r="U174" s="222"/>
      <c r="V174" s="222"/>
      <c r="W174" s="222"/>
      <c r="X174" s="222"/>
      <c r="Y174" s="222"/>
    </row>
    <row r="175" spans="9:25" s="276" customFormat="1">
      <c r="I175" s="222"/>
      <c r="J175" s="222"/>
      <c r="K175" s="222"/>
      <c r="L175" s="222"/>
      <c r="M175" s="222"/>
      <c r="N175" s="222"/>
      <c r="O175" s="222"/>
      <c r="P175" s="222"/>
      <c r="Q175" s="222"/>
      <c r="R175" s="222"/>
      <c r="S175" s="222"/>
      <c r="T175" s="222"/>
      <c r="U175" s="222"/>
      <c r="V175" s="222"/>
      <c r="W175" s="222"/>
      <c r="X175" s="222"/>
      <c r="Y175" s="222"/>
    </row>
    <row r="176" spans="9:25" s="276" customFormat="1">
      <c r="I176" s="222"/>
      <c r="J176" s="222"/>
      <c r="K176" s="222"/>
      <c r="L176" s="222"/>
      <c r="M176" s="222"/>
      <c r="N176" s="222"/>
      <c r="O176" s="222"/>
      <c r="P176" s="222"/>
      <c r="Q176" s="222"/>
      <c r="R176" s="222"/>
      <c r="S176" s="222"/>
      <c r="T176" s="222"/>
      <c r="U176" s="222"/>
      <c r="V176" s="222"/>
      <c r="W176" s="222"/>
      <c r="X176" s="222"/>
      <c r="Y176" s="222"/>
    </row>
    <row r="177" spans="9:25" s="276" customFormat="1">
      <c r="I177" s="222"/>
      <c r="J177" s="222"/>
      <c r="K177" s="222"/>
      <c r="L177" s="222"/>
      <c r="M177" s="222"/>
      <c r="N177" s="222"/>
      <c r="O177" s="222"/>
      <c r="P177" s="222"/>
      <c r="Q177" s="222"/>
      <c r="R177" s="222"/>
      <c r="S177" s="222"/>
      <c r="T177" s="222"/>
      <c r="U177" s="222"/>
      <c r="V177" s="222"/>
      <c r="W177" s="222"/>
      <c r="X177" s="222"/>
      <c r="Y177" s="222"/>
    </row>
    <row r="178" spans="9:25" s="276" customFormat="1">
      <c r="I178" s="222"/>
      <c r="J178" s="222"/>
      <c r="K178" s="222"/>
      <c r="L178" s="222"/>
      <c r="M178" s="222"/>
      <c r="N178" s="222"/>
      <c r="O178" s="222"/>
      <c r="P178" s="222"/>
      <c r="Q178" s="222"/>
      <c r="R178" s="222"/>
      <c r="S178" s="222"/>
      <c r="T178" s="222"/>
      <c r="U178" s="222"/>
      <c r="V178" s="222"/>
      <c r="W178" s="222"/>
      <c r="X178" s="222"/>
      <c r="Y178" s="222"/>
    </row>
    <row r="179" spans="9:25" s="276" customFormat="1">
      <c r="I179" s="222"/>
      <c r="J179" s="222"/>
      <c r="K179" s="222"/>
      <c r="L179" s="222"/>
      <c r="M179" s="222"/>
      <c r="N179" s="222"/>
      <c r="O179" s="222"/>
      <c r="P179" s="222"/>
      <c r="Q179" s="222"/>
      <c r="R179" s="222"/>
      <c r="S179" s="222"/>
      <c r="T179" s="222"/>
      <c r="U179" s="222"/>
      <c r="V179" s="222"/>
      <c r="W179" s="222"/>
      <c r="X179" s="222"/>
      <c r="Y179" s="222"/>
    </row>
    <row r="180" spans="9:25" s="276" customFormat="1">
      <c r="I180" s="222"/>
      <c r="J180" s="222"/>
      <c r="K180" s="222"/>
      <c r="L180" s="222"/>
      <c r="M180" s="222"/>
      <c r="N180" s="222"/>
      <c r="O180" s="222"/>
      <c r="P180" s="222"/>
      <c r="Q180" s="222"/>
      <c r="R180" s="222"/>
      <c r="S180" s="222"/>
      <c r="T180" s="222"/>
      <c r="U180" s="222"/>
      <c r="V180" s="222"/>
      <c r="W180" s="222"/>
      <c r="X180" s="222"/>
      <c r="Y180" s="222"/>
    </row>
    <row r="181" spans="9:25" s="276" customFormat="1">
      <c r="I181" s="222"/>
      <c r="J181" s="222"/>
      <c r="K181" s="222"/>
      <c r="L181" s="222"/>
      <c r="M181" s="222"/>
      <c r="N181" s="222"/>
      <c r="O181" s="222"/>
      <c r="P181" s="222"/>
      <c r="Q181" s="222"/>
      <c r="R181" s="222"/>
      <c r="S181" s="222"/>
      <c r="T181" s="222"/>
      <c r="U181" s="222"/>
      <c r="V181" s="222"/>
      <c r="W181" s="222"/>
      <c r="X181" s="222"/>
      <c r="Y181" s="222"/>
    </row>
    <row r="182" spans="9:25" s="276" customFormat="1">
      <c r="I182" s="222"/>
      <c r="J182" s="222"/>
      <c r="K182" s="222"/>
      <c r="L182" s="222"/>
      <c r="M182" s="222"/>
      <c r="N182" s="222"/>
      <c r="O182" s="222"/>
      <c r="P182" s="222"/>
      <c r="Q182" s="222"/>
      <c r="R182" s="222"/>
      <c r="S182" s="222"/>
      <c r="T182" s="222"/>
      <c r="U182" s="222"/>
      <c r="V182" s="222"/>
      <c r="W182" s="222"/>
      <c r="X182" s="222"/>
      <c r="Y182" s="222"/>
    </row>
    <row r="183" spans="9:25" s="276" customFormat="1">
      <c r="I183" s="222"/>
      <c r="J183" s="222"/>
      <c r="K183" s="222"/>
      <c r="L183" s="222"/>
      <c r="M183" s="222"/>
      <c r="N183" s="222"/>
      <c r="O183" s="222"/>
      <c r="P183" s="222"/>
      <c r="Q183" s="222"/>
      <c r="R183" s="222"/>
      <c r="S183" s="222"/>
      <c r="T183" s="222"/>
      <c r="U183" s="222"/>
      <c r="V183" s="222"/>
      <c r="W183" s="222"/>
      <c r="X183" s="222"/>
      <c r="Y183" s="222"/>
    </row>
    <row r="184" spans="9:25" s="276" customFormat="1">
      <c r="I184" s="222"/>
      <c r="J184" s="222"/>
      <c r="K184" s="222"/>
      <c r="L184" s="222"/>
      <c r="M184" s="222"/>
      <c r="N184" s="222"/>
      <c r="O184" s="222"/>
      <c r="P184" s="222"/>
      <c r="Q184" s="222"/>
      <c r="R184" s="222"/>
      <c r="S184" s="222"/>
      <c r="T184" s="222"/>
      <c r="U184" s="222"/>
      <c r="V184" s="222"/>
      <c r="W184" s="222"/>
      <c r="X184" s="222"/>
      <c r="Y184" s="222"/>
    </row>
    <row r="185" spans="9:25" s="276" customFormat="1">
      <c r="I185" s="222"/>
      <c r="J185" s="222"/>
      <c r="K185" s="222"/>
      <c r="L185" s="222"/>
      <c r="M185" s="222"/>
      <c r="N185" s="222"/>
      <c r="O185" s="222"/>
      <c r="P185" s="222"/>
      <c r="Q185" s="222"/>
      <c r="R185" s="222"/>
      <c r="S185" s="222"/>
      <c r="T185" s="222"/>
      <c r="U185" s="222"/>
      <c r="V185" s="222"/>
      <c r="W185" s="222"/>
      <c r="X185" s="222"/>
      <c r="Y185" s="222"/>
    </row>
    <row r="186" spans="9:25" s="276" customFormat="1">
      <c r="I186" s="222"/>
      <c r="J186" s="222"/>
      <c r="K186" s="222"/>
      <c r="L186" s="222"/>
      <c r="M186" s="222"/>
      <c r="N186" s="222"/>
      <c r="O186" s="222"/>
      <c r="P186" s="222"/>
      <c r="Q186" s="222"/>
      <c r="R186" s="222"/>
      <c r="S186" s="222"/>
      <c r="T186" s="222"/>
      <c r="U186" s="222"/>
      <c r="V186" s="222"/>
      <c r="W186" s="222"/>
      <c r="X186" s="222"/>
      <c r="Y186" s="222"/>
    </row>
    <row r="187" spans="9:25" s="276" customFormat="1">
      <c r="I187" s="222"/>
      <c r="J187" s="222"/>
      <c r="K187" s="222"/>
      <c r="L187" s="222"/>
      <c r="M187" s="222"/>
      <c r="N187" s="222"/>
      <c r="O187" s="222"/>
      <c r="P187" s="222"/>
      <c r="Q187" s="222"/>
      <c r="R187" s="222"/>
      <c r="S187" s="222"/>
      <c r="T187" s="222"/>
      <c r="U187" s="222"/>
      <c r="V187" s="222"/>
      <c r="W187" s="222"/>
      <c r="X187" s="222"/>
      <c r="Y187" s="222"/>
    </row>
    <row r="188" spans="9:25" s="276" customFormat="1">
      <c r="I188" s="222"/>
      <c r="J188" s="222"/>
      <c r="K188" s="222"/>
      <c r="L188" s="222"/>
      <c r="M188" s="222"/>
      <c r="N188" s="222"/>
      <c r="O188" s="222"/>
      <c r="P188" s="222"/>
      <c r="Q188" s="222"/>
      <c r="R188" s="222"/>
      <c r="S188" s="222"/>
      <c r="T188" s="222"/>
      <c r="U188" s="222"/>
      <c r="V188" s="222"/>
      <c r="W188" s="222"/>
      <c r="X188" s="222"/>
      <c r="Y188" s="222"/>
    </row>
    <row r="189" spans="9:25" s="276" customFormat="1">
      <c r="I189" s="222"/>
      <c r="J189" s="222"/>
      <c r="K189" s="222"/>
      <c r="L189" s="222"/>
      <c r="M189" s="222"/>
      <c r="N189" s="222"/>
      <c r="O189" s="222"/>
      <c r="P189" s="222"/>
      <c r="Q189" s="222"/>
      <c r="R189" s="222"/>
      <c r="S189" s="222"/>
      <c r="T189" s="222"/>
      <c r="U189" s="222"/>
      <c r="V189" s="222"/>
      <c r="W189" s="222"/>
      <c r="X189" s="222"/>
      <c r="Y189" s="222"/>
    </row>
    <row r="190" spans="9:25" s="276" customFormat="1">
      <c r="I190" s="222"/>
      <c r="J190" s="222"/>
      <c r="K190" s="222"/>
      <c r="L190" s="222"/>
      <c r="M190" s="222"/>
      <c r="N190" s="222"/>
      <c r="O190" s="222"/>
      <c r="P190" s="222"/>
      <c r="Q190" s="222"/>
      <c r="R190" s="222"/>
      <c r="S190" s="222"/>
      <c r="T190" s="222"/>
      <c r="U190" s="222"/>
      <c r="V190" s="222"/>
      <c r="W190" s="222"/>
      <c r="X190" s="222"/>
      <c r="Y190" s="222"/>
    </row>
    <row r="191" spans="9:25" s="276" customFormat="1">
      <c r="I191" s="222"/>
      <c r="J191" s="222"/>
      <c r="K191" s="222"/>
      <c r="L191" s="222"/>
      <c r="M191" s="222"/>
      <c r="N191" s="222"/>
      <c r="O191" s="222"/>
      <c r="P191" s="222"/>
      <c r="Q191" s="222"/>
      <c r="R191" s="222"/>
      <c r="S191" s="222"/>
      <c r="T191" s="222"/>
      <c r="U191" s="222"/>
      <c r="V191" s="222"/>
      <c r="W191" s="222"/>
      <c r="X191" s="222"/>
      <c r="Y191" s="222"/>
    </row>
    <row r="192" spans="9:25" s="276" customFormat="1">
      <c r="I192" s="222"/>
      <c r="J192" s="222"/>
      <c r="K192" s="222"/>
      <c r="L192" s="222"/>
      <c r="M192" s="222"/>
      <c r="N192" s="222"/>
      <c r="O192" s="222"/>
      <c r="P192" s="222"/>
      <c r="Q192" s="222"/>
      <c r="R192" s="222"/>
      <c r="S192" s="222"/>
      <c r="T192" s="222"/>
      <c r="U192" s="222"/>
      <c r="V192" s="222"/>
      <c r="W192" s="222"/>
      <c r="X192" s="222"/>
      <c r="Y192" s="222"/>
    </row>
    <row r="193" spans="9:25" s="276" customFormat="1">
      <c r="I193" s="222"/>
      <c r="J193" s="222"/>
      <c r="K193" s="222"/>
      <c r="L193" s="222"/>
      <c r="M193" s="222"/>
      <c r="N193" s="222"/>
      <c r="O193" s="222"/>
      <c r="P193" s="222"/>
      <c r="Q193" s="222"/>
      <c r="R193" s="222"/>
      <c r="S193" s="222"/>
      <c r="T193" s="222"/>
      <c r="U193" s="222"/>
      <c r="V193" s="222"/>
      <c r="W193" s="222"/>
      <c r="X193" s="222"/>
      <c r="Y193" s="222"/>
    </row>
    <row r="194" spans="9:25" s="276" customFormat="1">
      <c r="I194" s="222"/>
      <c r="J194" s="222"/>
      <c r="K194" s="222"/>
      <c r="L194" s="222"/>
      <c r="M194" s="222"/>
      <c r="N194" s="222"/>
      <c r="O194" s="222"/>
      <c r="P194" s="222"/>
      <c r="Q194" s="222"/>
      <c r="R194" s="222"/>
      <c r="S194" s="222"/>
      <c r="T194" s="222"/>
      <c r="U194" s="222"/>
      <c r="V194" s="222"/>
      <c r="W194" s="222"/>
      <c r="X194" s="222"/>
      <c r="Y194" s="222"/>
    </row>
    <row r="195" spans="9:25" s="276" customFormat="1">
      <c r="I195" s="222"/>
      <c r="J195" s="222"/>
      <c r="K195" s="222"/>
      <c r="L195" s="222"/>
      <c r="M195" s="222"/>
      <c r="N195" s="222"/>
      <c r="O195" s="222"/>
      <c r="P195" s="222"/>
      <c r="Q195" s="222"/>
      <c r="R195" s="222"/>
      <c r="S195" s="222"/>
      <c r="T195" s="222"/>
      <c r="U195" s="222"/>
      <c r="V195" s="222"/>
      <c r="W195" s="222"/>
      <c r="X195" s="222"/>
      <c r="Y195" s="222"/>
    </row>
    <row r="196" spans="9:25" s="276" customFormat="1">
      <c r="I196" s="222"/>
      <c r="J196" s="222"/>
      <c r="K196" s="222"/>
      <c r="L196" s="222"/>
      <c r="M196" s="222"/>
      <c r="N196" s="222"/>
      <c r="O196" s="222"/>
      <c r="P196" s="222"/>
      <c r="Q196" s="222"/>
      <c r="R196" s="222"/>
      <c r="S196" s="222"/>
      <c r="T196" s="222"/>
      <c r="U196" s="222"/>
      <c r="V196" s="222"/>
      <c r="W196" s="222"/>
      <c r="X196" s="222"/>
      <c r="Y196" s="222"/>
    </row>
    <row r="197" spans="9:25" s="276" customFormat="1">
      <c r="I197" s="222"/>
      <c r="J197" s="222"/>
      <c r="K197" s="222"/>
      <c r="L197" s="222"/>
      <c r="M197" s="222"/>
      <c r="N197" s="222"/>
      <c r="O197" s="222"/>
      <c r="P197" s="222"/>
      <c r="Q197" s="222"/>
      <c r="R197" s="222"/>
      <c r="S197" s="222"/>
      <c r="T197" s="222"/>
      <c r="U197" s="222"/>
      <c r="V197" s="222"/>
      <c r="W197" s="222"/>
      <c r="X197" s="222"/>
      <c r="Y197" s="222"/>
    </row>
    <row r="198" spans="9:25" s="276" customFormat="1">
      <c r="I198" s="222"/>
      <c r="J198" s="222"/>
      <c r="K198" s="222"/>
      <c r="L198" s="222"/>
      <c r="M198" s="222"/>
      <c r="N198" s="222"/>
      <c r="O198" s="222"/>
      <c r="P198" s="222"/>
      <c r="Q198" s="222"/>
      <c r="R198" s="222"/>
      <c r="S198" s="222"/>
      <c r="T198" s="222"/>
      <c r="U198" s="222"/>
      <c r="V198" s="222"/>
      <c r="W198" s="222"/>
      <c r="X198" s="222"/>
      <c r="Y198" s="222"/>
    </row>
    <row r="199" spans="9:25" s="276" customFormat="1">
      <c r="I199" s="222"/>
      <c r="J199" s="222"/>
      <c r="K199" s="222"/>
      <c r="L199" s="222"/>
      <c r="M199" s="222"/>
      <c r="N199" s="222"/>
      <c r="O199" s="222"/>
      <c r="P199" s="222"/>
      <c r="Q199" s="222"/>
      <c r="R199" s="222"/>
      <c r="S199" s="222"/>
      <c r="T199" s="222"/>
      <c r="U199" s="222"/>
      <c r="V199" s="222"/>
      <c r="W199" s="222"/>
      <c r="X199" s="222"/>
      <c r="Y199" s="222"/>
    </row>
    <row r="200" spans="9:25" s="276" customFormat="1">
      <c r="I200" s="222"/>
      <c r="J200" s="222"/>
      <c r="K200" s="222"/>
      <c r="L200" s="222"/>
      <c r="M200" s="222"/>
      <c r="N200" s="222"/>
      <c r="O200" s="222"/>
      <c r="P200" s="222"/>
      <c r="Q200" s="222"/>
      <c r="R200" s="222"/>
      <c r="S200" s="222"/>
      <c r="T200" s="222"/>
      <c r="U200" s="222"/>
      <c r="V200" s="222"/>
      <c r="W200" s="222"/>
      <c r="X200" s="222"/>
      <c r="Y200" s="222"/>
    </row>
    <row r="201" spans="9:25" s="276" customFormat="1">
      <c r="I201" s="222"/>
      <c r="J201" s="222"/>
      <c r="K201" s="222"/>
      <c r="L201" s="222"/>
      <c r="M201" s="222"/>
      <c r="N201" s="222"/>
      <c r="O201" s="222"/>
      <c r="P201" s="222"/>
      <c r="Q201" s="222"/>
      <c r="R201" s="222"/>
      <c r="S201" s="222"/>
      <c r="T201" s="222"/>
      <c r="U201" s="222"/>
      <c r="V201" s="222"/>
      <c r="W201" s="222"/>
      <c r="X201" s="222"/>
      <c r="Y201" s="222"/>
    </row>
    <row r="202" spans="9:25" s="276" customFormat="1">
      <c r="I202" s="222"/>
      <c r="J202" s="222"/>
      <c r="K202" s="222"/>
      <c r="L202" s="222"/>
      <c r="M202" s="222"/>
      <c r="N202" s="222"/>
      <c r="O202" s="222"/>
      <c r="P202" s="222"/>
      <c r="Q202" s="222"/>
      <c r="R202" s="222"/>
      <c r="S202" s="222"/>
      <c r="T202" s="222"/>
      <c r="U202" s="222"/>
      <c r="V202" s="222"/>
      <c r="W202" s="222"/>
      <c r="X202" s="222"/>
      <c r="Y202" s="222"/>
    </row>
    <row r="203" spans="9:25" s="276" customFormat="1">
      <c r="I203" s="222"/>
      <c r="J203" s="222"/>
      <c r="K203" s="222"/>
      <c r="L203" s="222"/>
      <c r="M203" s="222"/>
      <c r="N203" s="222"/>
      <c r="O203" s="222"/>
      <c r="P203" s="222"/>
      <c r="Q203" s="222"/>
      <c r="R203" s="222"/>
      <c r="S203" s="222"/>
      <c r="T203" s="222"/>
      <c r="U203" s="222"/>
      <c r="V203" s="222"/>
      <c r="W203" s="222"/>
      <c r="X203" s="222"/>
      <c r="Y203" s="222"/>
    </row>
    <row r="204" spans="9:25" s="276" customFormat="1">
      <c r="I204" s="222"/>
      <c r="J204" s="222"/>
      <c r="K204" s="222"/>
      <c r="L204" s="222"/>
      <c r="M204" s="222"/>
      <c r="N204" s="222"/>
      <c r="O204" s="222"/>
      <c r="P204" s="222"/>
      <c r="Q204" s="222"/>
      <c r="R204" s="222"/>
      <c r="S204" s="222"/>
      <c r="T204" s="222"/>
      <c r="U204" s="222"/>
      <c r="V204" s="222"/>
      <c r="W204" s="222"/>
      <c r="X204" s="222"/>
      <c r="Y204" s="222"/>
    </row>
    <row r="205" spans="9:25" s="276" customFormat="1">
      <c r="I205" s="222"/>
      <c r="J205" s="222"/>
      <c r="K205" s="222"/>
      <c r="L205" s="222"/>
      <c r="M205" s="222"/>
      <c r="N205" s="222"/>
      <c r="O205" s="222"/>
      <c r="P205" s="222"/>
      <c r="Q205" s="222"/>
      <c r="R205" s="222"/>
      <c r="S205" s="222"/>
      <c r="T205" s="222"/>
      <c r="U205" s="222"/>
      <c r="V205" s="222"/>
      <c r="W205" s="222"/>
      <c r="X205" s="222"/>
      <c r="Y205" s="222"/>
    </row>
    <row r="206" spans="9:25" s="276" customFormat="1">
      <c r="I206" s="222"/>
      <c r="J206" s="222"/>
      <c r="K206" s="222"/>
      <c r="L206" s="222"/>
      <c r="M206" s="222"/>
      <c r="N206" s="222"/>
      <c r="O206" s="222"/>
      <c r="P206" s="222"/>
      <c r="Q206" s="222"/>
      <c r="R206" s="222"/>
      <c r="S206" s="222"/>
      <c r="T206" s="222"/>
      <c r="U206" s="222"/>
      <c r="V206" s="222"/>
      <c r="W206" s="222"/>
      <c r="X206" s="222"/>
      <c r="Y206" s="222"/>
    </row>
    <row r="207" spans="9:25" s="276" customFormat="1">
      <c r="I207" s="222"/>
      <c r="J207" s="222"/>
      <c r="K207" s="222"/>
      <c r="L207" s="222"/>
      <c r="M207" s="222"/>
      <c r="N207" s="222"/>
      <c r="O207" s="222"/>
      <c r="P207" s="222"/>
      <c r="Q207" s="222"/>
      <c r="R207" s="222"/>
      <c r="S207" s="222"/>
      <c r="T207" s="222"/>
      <c r="U207" s="222"/>
      <c r="V207" s="222"/>
      <c r="W207" s="222"/>
      <c r="X207" s="222"/>
      <c r="Y207" s="222"/>
    </row>
    <row r="208" spans="9:25" s="276" customFormat="1">
      <c r="I208" s="222"/>
      <c r="J208" s="222"/>
      <c r="K208" s="222"/>
      <c r="L208" s="222"/>
      <c r="M208" s="222"/>
      <c r="N208" s="222"/>
      <c r="O208" s="222"/>
      <c r="P208" s="222"/>
      <c r="Q208" s="222"/>
      <c r="R208" s="222"/>
      <c r="S208" s="222"/>
      <c r="T208" s="222"/>
      <c r="U208" s="222"/>
      <c r="V208" s="222"/>
      <c r="W208" s="222"/>
      <c r="X208" s="222"/>
      <c r="Y208" s="222"/>
    </row>
    <row r="209" spans="9:25" s="276" customFormat="1">
      <c r="I209" s="222"/>
      <c r="J209" s="222"/>
      <c r="K209" s="222"/>
      <c r="L209" s="222"/>
      <c r="M209" s="222"/>
      <c r="N209" s="222"/>
      <c r="O209" s="222"/>
      <c r="P209" s="222"/>
      <c r="Q209" s="222"/>
      <c r="R209" s="222"/>
      <c r="S209" s="222"/>
      <c r="T209" s="222"/>
      <c r="U209" s="222"/>
      <c r="V209" s="222"/>
      <c r="W209" s="222"/>
      <c r="X209" s="222"/>
      <c r="Y209" s="222"/>
    </row>
    <row r="210" spans="9:25" s="276" customFormat="1">
      <c r="I210" s="222"/>
      <c r="J210" s="222"/>
      <c r="K210" s="222"/>
      <c r="L210" s="222"/>
      <c r="M210" s="222"/>
      <c r="N210" s="222"/>
      <c r="O210" s="222"/>
      <c r="P210" s="222"/>
      <c r="Q210" s="222"/>
      <c r="R210" s="222"/>
      <c r="S210" s="222"/>
      <c r="T210" s="222"/>
      <c r="U210" s="222"/>
      <c r="V210" s="222"/>
      <c r="W210" s="222"/>
      <c r="X210" s="222"/>
      <c r="Y210" s="222"/>
    </row>
    <row r="211" spans="9:25" s="276" customFormat="1">
      <c r="I211" s="222"/>
      <c r="J211" s="222"/>
      <c r="K211" s="222"/>
      <c r="L211" s="222"/>
      <c r="M211" s="222"/>
      <c r="N211" s="222"/>
      <c r="O211" s="222"/>
      <c r="P211" s="222"/>
      <c r="Q211" s="222"/>
      <c r="R211" s="222"/>
      <c r="S211" s="222"/>
      <c r="T211" s="222"/>
      <c r="U211" s="222"/>
      <c r="V211" s="222"/>
      <c r="W211" s="222"/>
      <c r="X211" s="222"/>
      <c r="Y211" s="222"/>
    </row>
    <row r="212" spans="9:25" s="276" customFormat="1">
      <c r="I212" s="222"/>
      <c r="J212" s="222"/>
      <c r="K212" s="222"/>
      <c r="L212" s="222"/>
      <c r="M212" s="222"/>
      <c r="N212" s="222"/>
      <c r="O212" s="222"/>
      <c r="P212" s="222"/>
      <c r="Q212" s="222"/>
      <c r="R212" s="222"/>
      <c r="S212" s="222"/>
      <c r="T212" s="222"/>
      <c r="U212" s="222"/>
      <c r="V212" s="222"/>
      <c r="W212" s="222"/>
      <c r="X212" s="222"/>
      <c r="Y212" s="222"/>
    </row>
    <row r="213" spans="9:25" s="276" customFormat="1">
      <c r="I213" s="222"/>
      <c r="J213" s="222"/>
      <c r="K213" s="222"/>
      <c r="L213" s="222"/>
      <c r="M213" s="222"/>
      <c r="N213" s="222"/>
      <c r="O213" s="222"/>
      <c r="P213" s="222"/>
      <c r="Q213" s="222"/>
      <c r="R213" s="222"/>
      <c r="S213" s="222"/>
      <c r="T213" s="222"/>
      <c r="U213" s="222"/>
      <c r="V213" s="222"/>
      <c r="W213" s="222"/>
      <c r="X213" s="222"/>
      <c r="Y213" s="222"/>
    </row>
    <row r="214" spans="9:25" s="276" customFormat="1">
      <c r="I214" s="222"/>
      <c r="J214" s="222"/>
      <c r="K214" s="222"/>
      <c r="L214" s="222"/>
      <c r="M214" s="222"/>
      <c r="N214" s="222"/>
      <c r="O214" s="222"/>
      <c r="P214" s="222"/>
      <c r="Q214" s="222"/>
      <c r="R214" s="222"/>
      <c r="S214" s="222"/>
      <c r="T214" s="222"/>
      <c r="U214" s="222"/>
      <c r="V214" s="222"/>
      <c r="W214" s="222"/>
      <c r="X214" s="222"/>
      <c r="Y214" s="222"/>
    </row>
    <row r="215" spans="9:25" s="276" customFormat="1">
      <c r="I215" s="222"/>
      <c r="J215" s="222"/>
      <c r="K215" s="222"/>
      <c r="L215" s="222"/>
      <c r="M215" s="222"/>
      <c r="N215" s="222"/>
      <c r="O215" s="222"/>
      <c r="P215" s="222"/>
      <c r="Q215" s="222"/>
      <c r="R215" s="222"/>
      <c r="S215" s="222"/>
      <c r="T215" s="222"/>
      <c r="U215" s="222"/>
      <c r="V215" s="222"/>
      <c r="W215" s="222"/>
      <c r="X215" s="222"/>
      <c r="Y215" s="222"/>
    </row>
    <row r="216" spans="9:25" s="276" customFormat="1">
      <c r="I216" s="222"/>
      <c r="J216" s="222"/>
      <c r="K216" s="222"/>
      <c r="L216" s="222"/>
      <c r="M216" s="222"/>
      <c r="N216" s="222"/>
      <c r="O216" s="222"/>
      <c r="P216" s="222"/>
      <c r="Q216" s="222"/>
      <c r="R216" s="222"/>
      <c r="S216" s="222"/>
      <c r="T216" s="222"/>
      <c r="U216" s="222"/>
      <c r="V216" s="222"/>
      <c r="W216" s="222"/>
      <c r="X216" s="222"/>
      <c r="Y216" s="222"/>
    </row>
    <row r="217" spans="9:25" s="276" customFormat="1">
      <c r="I217" s="222"/>
      <c r="J217" s="222"/>
      <c r="K217" s="222"/>
      <c r="L217" s="222"/>
      <c r="M217" s="222"/>
      <c r="N217" s="222"/>
      <c r="O217" s="222"/>
      <c r="P217" s="222"/>
      <c r="Q217" s="222"/>
      <c r="R217" s="222"/>
      <c r="S217" s="222"/>
      <c r="T217" s="222"/>
      <c r="U217" s="222"/>
      <c r="V217" s="222"/>
      <c r="W217" s="222"/>
      <c r="X217" s="222"/>
      <c r="Y217" s="222"/>
    </row>
    <row r="218" spans="9:25" s="276" customFormat="1">
      <c r="I218" s="222"/>
      <c r="J218" s="222"/>
      <c r="K218" s="222"/>
      <c r="L218" s="222"/>
      <c r="M218" s="222"/>
      <c r="N218" s="222"/>
      <c r="O218" s="222"/>
      <c r="P218" s="222"/>
      <c r="Q218" s="222"/>
      <c r="R218" s="222"/>
      <c r="S218" s="222"/>
      <c r="T218" s="222"/>
      <c r="U218" s="222"/>
      <c r="V218" s="222"/>
      <c r="W218" s="222"/>
      <c r="X218" s="222"/>
      <c r="Y218" s="222"/>
    </row>
    <row r="219" spans="9:25" s="276" customFormat="1">
      <c r="I219" s="222"/>
      <c r="J219" s="222"/>
      <c r="K219" s="222"/>
      <c r="L219" s="222"/>
      <c r="M219" s="222"/>
      <c r="N219" s="222"/>
      <c r="O219" s="222"/>
      <c r="P219" s="222"/>
      <c r="Q219" s="222"/>
      <c r="R219" s="222"/>
      <c r="S219" s="222"/>
      <c r="T219" s="222"/>
      <c r="U219" s="222"/>
      <c r="V219" s="222"/>
      <c r="W219" s="222"/>
      <c r="X219" s="222"/>
      <c r="Y219" s="222"/>
    </row>
    <row r="220" spans="9:25" s="276" customFormat="1">
      <c r="I220" s="222"/>
      <c r="J220" s="222"/>
      <c r="K220" s="222"/>
      <c r="L220" s="222"/>
      <c r="M220" s="222"/>
      <c r="N220" s="222"/>
      <c r="O220" s="222"/>
      <c r="P220" s="222"/>
      <c r="Q220" s="222"/>
      <c r="R220" s="222"/>
      <c r="S220" s="222"/>
      <c r="T220" s="222"/>
      <c r="U220" s="222"/>
      <c r="V220" s="222"/>
      <c r="W220" s="222"/>
      <c r="X220" s="222"/>
      <c r="Y220" s="222"/>
    </row>
    <row r="221" spans="9:25" s="276" customFormat="1">
      <c r="I221" s="222"/>
      <c r="J221" s="222"/>
      <c r="K221" s="222"/>
      <c r="L221" s="222"/>
      <c r="M221" s="222"/>
      <c r="N221" s="222"/>
      <c r="O221" s="222"/>
      <c r="P221" s="222"/>
      <c r="Q221" s="222"/>
      <c r="R221" s="222"/>
      <c r="S221" s="222"/>
      <c r="T221" s="222"/>
      <c r="U221" s="222"/>
      <c r="V221" s="222"/>
      <c r="W221" s="222"/>
      <c r="X221" s="222"/>
      <c r="Y221" s="222"/>
    </row>
    <row r="222" spans="9:25" s="276" customFormat="1">
      <c r="I222" s="222"/>
      <c r="J222" s="222"/>
      <c r="K222" s="222"/>
      <c r="L222" s="222"/>
      <c r="M222" s="222"/>
      <c r="N222" s="222"/>
      <c r="O222" s="222"/>
      <c r="P222" s="222"/>
      <c r="Q222" s="222"/>
      <c r="R222" s="222"/>
      <c r="S222" s="222"/>
      <c r="T222" s="222"/>
      <c r="U222" s="222"/>
      <c r="V222" s="222"/>
      <c r="W222" s="222"/>
      <c r="X222" s="222"/>
      <c r="Y222" s="222"/>
    </row>
    <row r="223" spans="9:25" s="276" customFormat="1">
      <c r="I223" s="222"/>
      <c r="J223" s="222"/>
      <c r="K223" s="222"/>
      <c r="L223" s="222"/>
      <c r="M223" s="222"/>
      <c r="N223" s="222"/>
      <c r="O223" s="222"/>
      <c r="P223" s="222"/>
      <c r="Q223" s="222"/>
      <c r="R223" s="222"/>
      <c r="S223" s="222"/>
      <c r="T223" s="222"/>
      <c r="U223" s="222"/>
      <c r="V223" s="222"/>
      <c r="W223" s="222"/>
      <c r="X223" s="222"/>
      <c r="Y223" s="222"/>
    </row>
    <row r="224" spans="9:25" s="276" customFormat="1">
      <c r="I224" s="222"/>
      <c r="J224" s="222"/>
      <c r="K224" s="222"/>
      <c r="L224" s="222"/>
      <c r="M224" s="222"/>
      <c r="N224" s="222"/>
      <c r="O224" s="222"/>
      <c r="P224" s="222"/>
      <c r="Q224" s="222"/>
      <c r="R224" s="222"/>
      <c r="S224" s="222"/>
      <c r="T224" s="222"/>
      <c r="U224" s="222"/>
      <c r="V224" s="222"/>
      <c r="W224" s="222"/>
      <c r="X224" s="222"/>
      <c r="Y224" s="222"/>
    </row>
    <row r="225" spans="9:25" s="276" customFormat="1">
      <c r="I225" s="222"/>
      <c r="J225" s="222"/>
      <c r="K225" s="222"/>
      <c r="L225" s="222"/>
      <c r="M225" s="222"/>
      <c r="N225" s="222"/>
      <c r="O225" s="222"/>
      <c r="P225" s="222"/>
      <c r="Q225" s="222"/>
      <c r="R225" s="222"/>
      <c r="S225" s="222"/>
      <c r="T225" s="222"/>
      <c r="U225" s="222"/>
      <c r="V225" s="222"/>
      <c r="W225" s="222"/>
      <c r="X225" s="222"/>
      <c r="Y225" s="222"/>
    </row>
  </sheetData>
  <sheetProtection sheet="1" objects="1" scenarios="1"/>
  <mergeCells count="9">
    <mergeCell ref="F8:G8"/>
    <mergeCell ref="F9:G9"/>
    <mergeCell ref="F10:G10"/>
    <mergeCell ref="F6:G6"/>
    <mergeCell ref="C3:C4"/>
    <mergeCell ref="E3:E4"/>
    <mergeCell ref="F4:G4"/>
    <mergeCell ref="F5:G5"/>
    <mergeCell ref="F7:G7"/>
  </mergeCells>
  <dataValidations count="3">
    <dataValidation type="list" allowBlank="1" showInputMessage="1" showErrorMessage="1" sqref="B5:B10" xr:uid="{00000000-0002-0000-0300-000000000000}">
      <formula1>$M$1:$V$1</formula1>
    </dataValidation>
    <dataValidation type="list" allowBlank="1" showInputMessage="1" showErrorMessage="1" sqref="E5:E10" xr:uid="{00000000-0002-0000-0300-000001000000}">
      <formula1>$J$1:$J$3</formula1>
    </dataValidation>
    <dataValidation type="decimal" operator="greaterThanOrEqual" allowBlank="1" showInputMessage="1" showErrorMessage="1" sqref="C5:C10" xr:uid="{00000000-0002-0000-0300-000002000000}">
      <formula1>0</formula1>
    </dataValidation>
  </dataValidations>
  <printOptions horizontalCentered="1"/>
  <pageMargins left="0.25" right="0.25"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00B0F0"/>
    <pageSetUpPr fitToPage="1"/>
  </sheetPr>
  <dimension ref="A1:AR287"/>
  <sheetViews>
    <sheetView showZeros="0" topLeftCell="A16" zoomScaleNormal="100" workbookViewId="0">
      <selection activeCell="C33" sqref="C33"/>
    </sheetView>
  </sheetViews>
  <sheetFormatPr defaultRowHeight="12.75"/>
  <cols>
    <col min="1" max="1" width="21" style="152" customWidth="1"/>
    <col min="2" max="2" width="29.140625" style="152" customWidth="1"/>
    <col min="3" max="3" width="10.5703125" style="152" customWidth="1"/>
    <col min="4" max="4" width="8.5703125" style="152" customWidth="1"/>
    <col min="5" max="5" width="11.42578125" style="152" customWidth="1"/>
    <col min="6" max="6" width="10.28515625" style="152" customWidth="1"/>
    <col min="7" max="7" width="9.140625" style="152"/>
    <col min="8" max="8" width="10.28515625" style="152" customWidth="1"/>
    <col min="9" max="9" width="11" style="152" customWidth="1"/>
    <col min="10" max="10" width="11.5703125" style="152" customWidth="1"/>
    <col min="11" max="11" width="4.42578125" style="222" customWidth="1"/>
    <col min="12" max="12" width="21.7109375" style="222" hidden="1" customWidth="1"/>
    <col min="13" max="22" width="14.85546875" style="222" hidden="1" customWidth="1"/>
    <col min="23" max="23" width="0" style="222" hidden="1" customWidth="1"/>
    <col min="24" max="24" width="9.140625" style="222"/>
    <col min="25" max="44" width="9.140625" style="157"/>
  </cols>
  <sheetData>
    <row r="1" spans="1:44" ht="29.25" customHeight="1" thickBot="1">
      <c r="B1" s="133" t="s">
        <v>140</v>
      </c>
      <c r="C1"/>
      <c r="D1" s="134" t="str">
        <f>CONCATENATE("(",Inputs!G3," Cows)")</f>
        <v>(300 Cows)</v>
      </c>
      <c r="E1" s="100"/>
      <c r="F1" s="100"/>
      <c r="G1" s="100"/>
      <c r="H1" s="100"/>
      <c r="I1" s="23"/>
      <c r="J1" s="90"/>
      <c r="L1" s="417" t="s">
        <v>186</v>
      </c>
      <c r="M1" s="417" t="str">
        <f>IF(Inputs!$B$68=0,"",Inputs!$B$68)</f>
        <v>Creep Feed</v>
      </c>
      <c r="N1" s="417" t="str">
        <f>IF(Inputs!$B$69=0,"",Inputs!$B$69)</f>
        <v xml:space="preserve">Pasture </v>
      </c>
      <c r="O1" s="417" t="str">
        <f>IF(Inputs!B70=0,"",Inputs!B70)</f>
        <v>Prairie Hay</v>
      </c>
      <c r="P1" s="417" t="str">
        <f>IF(Inputs!B71=0,"",Inputs!B71)</f>
        <v>Alfalfa</v>
      </c>
      <c r="Q1" s="417" t="str">
        <f>IF(Inputs!B72=0,"",Inputs!B72)</f>
        <v>DDG Cubes</v>
      </c>
      <c r="R1" s="417" t="str">
        <f>IF(Inputs!B73=0,"",Inputs!B73)</f>
        <v>Salt and Mineral</v>
      </c>
      <c r="S1" s="417" t="str">
        <f>IF(Inputs!B74=0,"",Inputs!B74)</f>
        <v>Silage</v>
      </c>
      <c r="T1" s="417" t="str">
        <f>IF(Inputs!B75=0,"",Inputs!B75)</f>
        <v>Corn</v>
      </c>
      <c r="U1" s="417" t="str">
        <f>IF(Inputs!B76=0,"",Inputs!B76)</f>
        <v>Wet Distiller's Grain</v>
      </c>
      <c r="V1" s="417" t="str">
        <f>IF(Inputs!B77=0,"",Inputs!B77)</f>
        <v>Corn Stalks</v>
      </c>
      <c r="W1" s="419" t="s">
        <v>30</v>
      </c>
    </row>
    <row r="2" spans="1:44" ht="16.5" customHeight="1" thickBot="1">
      <c r="B2" s="66" t="s">
        <v>96</v>
      </c>
      <c r="C2" s="108"/>
      <c r="D2" s="109"/>
      <c r="E2" s="109"/>
      <c r="F2" s="109"/>
      <c r="G2" s="109"/>
      <c r="H2" s="128" t="s">
        <v>73</v>
      </c>
      <c r="I2" s="129" t="s">
        <v>90</v>
      </c>
      <c r="J2" s="113" t="s">
        <v>148</v>
      </c>
      <c r="L2" s="418" t="str">
        <f t="shared" ref="L2:L7" si="0">B18</f>
        <v xml:space="preserve">Pasture </v>
      </c>
      <c r="M2" s="418">
        <f>IF(M$1=$L2,$L18,0)</f>
        <v>0</v>
      </c>
      <c r="N2" s="418">
        <f t="shared" ref="N2:V2" si="1">IF(N$1=$L2,$L18,0)</f>
        <v>45000</v>
      </c>
      <c r="O2" s="418">
        <f t="shared" si="1"/>
        <v>0</v>
      </c>
      <c r="P2" s="418">
        <f t="shared" si="1"/>
        <v>0</v>
      </c>
      <c r="Q2" s="418">
        <f t="shared" si="1"/>
        <v>0</v>
      </c>
      <c r="R2" s="418">
        <f t="shared" si="1"/>
        <v>0</v>
      </c>
      <c r="S2" s="418">
        <f t="shared" si="1"/>
        <v>0</v>
      </c>
      <c r="T2" s="418">
        <f t="shared" si="1"/>
        <v>0</v>
      </c>
      <c r="U2" s="418">
        <f t="shared" si="1"/>
        <v>0</v>
      </c>
      <c r="V2" s="418">
        <f t="shared" si="1"/>
        <v>0</v>
      </c>
      <c r="W2" s="418">
        <f t="shared" ref="W2:W7" si="2">SUM(M2:V2)</f>
        <v>45000</v>
      </c>
    </row>
    <row r="3" spans="1:44">
      <c r="B3" s="48"/>
      <c r="C3" s="76" t="s">
        <v>43</v>
      </c>
      <c r="D3" s="39"/>
      <c r="E3" s="168" t="s">
        <v>29</v>
      </c>
      <c r="F3" s="39" t="s">
        <v>5</v>
      </c>
      <c r="G3" s="43"/>
      <c r="H3" s="145" t="s">
        <v>30</v>
      </c>
      <c r="I3" s="184"/>
      <c r="J3" s="183"/>
      <c r="L3" s="418" t="str">
        <f t="shared" si="0"/>
        <v>Salt and Mineral</v>
      </c>
      <c r="M3" s="418">
        <f t="shared" ref="M3:V7" si="3">IF(M$1=$L3,$L19,0)</f>
        <v>0</v>
      </c>
      <c r="N3" s="418">
        <f t="shared" si="3"/>
        <v>0</v>
      </c>
      <c r="O3" s="418">
        <f t="shared" si="3"/>
        <v>0</v>
      </c>
      <c r="P3" s="418">
        <f t="shared" si="3"/>
        <v>0</v>
      </c>
      <c r="Q3" s="418">
        <f t="shared" si="3"/>
        <v>0</v>
      </c>
      <c r="R3" s="418">
        <f t="shared" si="3"/>
        <v>420000</v>
      </c>
      <c r="S3" s="418">
        <f t="shared" si="3"/>
        <v>0</v>
      </c>
      <c r="T3" s="418">
        <f t="shared" si="3"/>
        <v>0</v>
      </c>
      <c r="U3" s="418">
        <f t="shared" si="3"/>
        <v>0</v>
      </c>
      <c r="V3" s="418">
        <f t="shared" si="3"/>
        <v>0</v>
      </c>
      <c r="W3" s="418">
        <f t="shared" si="2"/>
        <v>420000</v>
      </c>
    </row>
    <row r="4" spans="1:44">
      <c r="B4" s="48" t="s">
        <v>131</v>
      </c>
      <c r="C4" s="77">
        <f>ROUND(Inputs!$G$23/2,0)</f>
        <v>140</v>
      </c>
      <c r="D4" s="43"/>
      <c r="E4" s="179">
        <f>Inputs!G24</f>
        <v>575</v>
      </c>
      <c r="F4" s="50">
        <f>Inputs!G26</f>
        <v>180</v>
      </c>
      <c r="G4" s="49" t="s">
        <v>31</v>
      </c>
      <c r="H4" s="445">
        <f>C4*E4*F4/100</f>
        <v>144900</v>
      </c>
      <c r="I4" s="185"/>
      <c r="J4" s="186"/>
      <c r="L4" s="418" t="str">
        <f t="shared" si="0"/>
        <v>Prairie Hay</v>
      </c>
      <c r="M4" s="418">
        <f t="shared" si="3"/>
        <v>0</v>
      </c>
      <c r="N4" s="418">
        <f t="shared" si="3"/>
        <v>0</v>
      </c>
      <c r="O4" s="418">
        <f t="shared" si="3"/>
        <v>540000</v>
      </c>
      <c r="P4" s="418">
        <f t="shared" si="3"/>
        <v>0</v>
      </c>
      <c r="Q4" s="418">
        <f t="shared" si="3"/>
        <v>0</v>
      </c>
      <c r="R4" s="418">
        <f t="shared" si="3"/>
        <v>0</v>
      </c>
      <c r="S4" s="418">
        <f t="shared" si="3"/>
        <v>0</v>
      </c>
      <c r="T4" s="418">
        <f t="shared" si="3"/>
        <v>0</v>
      </c>
      <c r="U4" s="418">
        <f t="shared" si="3"/>
        <v>0</v>
      </c>
      <c r="V4" s="418">
        <f t="shared" si="3"/>
        <v>0</v>
      </c>
      <c r="W4" s="418">
        <f t="shared" si="2"/>
        <v>540000</v>
      </c>
    </row>
    <row r="5" spans="1:44">
      <c r="B5" s="48" t="s">
        <v>132</v>
      </c>
      <c r="C5" s="77">
        <f>ROUND(Inputs!$G$23/2-Inputs!G5-Inputs!O6-Inputs!G9+Inputs!G13,0)</f>
        <v>123</v>
      </c>
      <c r="D5" s="43"/>
      <c r="E5" s="169">
        <f>Inputs!G25</f>
        <v>525</v>
      </c>
      <c r="F5" s="50">
        <f>Inputs!G27</f>
        <v>160</v>
      </c>
      <c r="G5" s="49" t="s">
        <v>31</v>
      </c>
      <c r="H5" s="445">
        <f>C5*E5*F5/100</f>
        <v>103320</v>
      </c>
      <c r="I5" s="185"/>
      <c r="J5" s="186"/>
      <c r="L5" s="418" t="str">
        <f t="shared" si="0"/>
        <v>Corn Stalks</v>
      </c>
      <c r="M5" s="418">
        <f t="shared" si="3"/>
        <v>0</v>
      </c>
      <c r="N5" s="418">
        <f t="shared" si="3"/>
        <v>0</v>
      </c>
      <c r="O5" s="418">
        <f t="shared" si="3"/>
        <v>0</v>
      </c>
      <c r="P5" s="418">
        <f t="shared" si="3"/>
        <v>0</v>
      </c>
      <c r="Q5" s="418">
        <f t="shared" si="3"/>
        <v>0</v>
      </c>
      <c r="R5" s="418">
        <f t="shared" si="3"/>
        <v>0</v>
      </c>
      <c r="S5" s="418">
        <f t="shared" si="3"/>
        <v>0</v>
      </c>
      <c r="T5" s="418">
        <f t="shared" si="3"/>
        <v>0</v>
      </c>
      <c r="U5" s="418">
        <f t="shared" si="3"/>
        <v>0</v>
      </c>
      <c r="V5" s="418">
        <f t="shared" si="3"/>
        <v>36000</v>
      </c>
      <c r="W5" s="418">
        <f t="shared" si="2"/>
        <v>36000</v>
      </c>
    </row>
    <row r="6" spans="1:44">
      <c r="B6" s="27" t="s">
        <v>84</v>
      </c>
      <c r="C6" s="77">
        <f>Inputs!G5</f>
        <v>29</v>
      </c>
      <c r="D6" s="43"/>
      <c r="E6" s="56">
        <f>Inputs!G15</f>
        <v>1300</v>
      </c>
      <c r="F6" s="50">
        <f>Inputs!G16</f>
        <v>64</v>
      </c>
      <c r="G6" s="49" t="s">
        <v>31</v>
      </c>
      <c r="H6" s="445">
        <f>C6*F6*E6/100</f>
        <v>24128</v>
      </c>
      <c r="I6" s="185"/>
      <c r="J6" s="186"/>
      <c r="L6" s="418" t="str">
        <f t="shared" si="0"/>
        <v>DDG Cubes</v>
      </c>
      <c r="M6" s="418">
        <f t="shared" si="3"/>
        <v>0</v>
      </c>
      <c r="N6" s="418">
        <f t="shared" si="3"/>
        <v>0</v>
      </c>
      <c r="O6" s="418">
        <f t="shared" si="3"/>
        <v>0</v>
      </c>
      <c r="P6" s="418">
        <f t="shared" si="3"/>
        <v>0</v>
      </c>
      <c r="Q6" s="418">
        <f t="shared" si="3"/>
        <v>150000</v>
      </c>
      <c r="R6" s="418">
        <f t="shared" si="3"/>
        <v>0</v>
      </c>
      <c r="S6" s="418">
        <f t="shared" si="3"/>
        <v>0</v>
      </c>
      <c r="T6" s="418">
        <f t="shared" si="3"/>
        <v>0</v>
      </c>
      <c r="U6" s="418">
        <f t="shared" si="3"/>
        <v>0</v>
      </c>
      <c r="V6" s="418">
        <f t="shared" si="3"/>
        <v>0</v>
      </c>
      <c r="W6" s="418">
        <f t="shared" si="2"/>
        <v>150000</v>
      </c>
    </row>
    <row r="7" spans="1:44" s="190" customFormat="1">
      <c r="A7" s="152"/>
      <c r="B7" s="249" t="s">
        <v>191</v>
      </c>
      <c r="C7" s="77">
        <f>Inputs!G9</f>
        <v>0</v>
      </c>
      <c r="D7" s="43"/>
      <c r="E7" s="56">
        <f>Inputs!G10</f>
        <v>0</v>
      </c>
      <c r="F7" s="50">
        <f>Inputs!G11</f>
        <v>0</v>
      </c>
      <c r="G7" s="49" t="s">
        <v>31</v>
      </c>
      <c r="H7" s="445">
        <f>C7*F7*E7/100</f>
        <v>0</v>
      </c>
      <c r="I7" s="185"/>
      <c r="J7" s="186"/>
      <c r="K7" s="222"/>
      <c r="L7" s="418">
        <f t="shared" si="0"/>
        <v>0</v>
      </c>
      <c r="M7" s="418">
        <f t="shared" si="3"/>
        <v>0</v>
      </c>
      <c r="N7" s="418">
        <f t="shared" si="3"/>
        <v>0</v>
      </c>
      <c r="O7" s="418">
        <f t="shared" si="3"/>
        <v>0</v>
      </c>
      <c r="P7" s="418">
        <f t="shared" si="3"/>
        <v>0</v>
      </c>
      <c r="Q7" s="418">
        <f t="shared" si="3"/>
        <v>0</v>
      </c>
      <c r="R7" s="418">
        <f t="shared" si="3"/>
        <v>0</v>
      </c>
      <c r="S7" s="418">
        <f t="shared" si="3"/>
        <v>0</v>
      </c>
      <c r="T7" s="418">
        <f t="shared" si="3"/>
        <v>0</v>
      </c>
      <c r="U7" s="418">
        <f t="shared" si="3"/>
        <v>0</v>
      </c>
      <c r="V7" s="418">
        <f t="shared" si="3"/>
        <v>0</v>
      </c>
      <c r="W7" s="418">
        <f t="shared" si="2"/>
        <v>0</v>
      </c>
      <c r="X7" s="222"/>
      <c r="Y7" s="157"/>
      <c r="Z7" s="157"/>
      <c r="AA7" s="157"/>
      <c r="AB7" s="157"/>
      <c r="AC7" s="157"/>
      <c r="AD7" s="157"/>
      <c r="AE7" s="157"/>
      <c r="AF7" s="157"/>
      <c r="AG7" s="157"/>
      <c r="AH7" s="157"/>
      <c r="AI7" s="157"/>
      <c r="AJ7" s="157"/>
      <c r="AK7" s="157"/>
      <c r="AL7" s="157"/>
      <c r="AM7" s="157"/>
      <c r="AN7" s="157"/>
      <c r="AO7" s="157"/>
      <c r="AP7" s="157"/>
      <c r="AQ7" s="157"/>
      <c r="AR7" s="157"/>
    </row>
    <row r="8" spans="1:44" ht="13.5" thickBot="1">
      <c r="B8" s="48"/>
      <c r="C8" s="31"/>
      <c r="D8" s="49"/>
      <c r="E8" s="49"/>
      <c r="F8"/>
      <c r="G8" s="49"/>
      <c r="H8" s="445"/>
      <c r="I8" s="187"/>
      <c r="J8" s="188"/>
      <c r="L8" s="418" t="s">
        <v>30</v>
      </c>
      <c r="M8" s="418">
        <f>SUM(M2:M7)</f>
        <v>0</v>
      </c>
      <c r="N8" s="418">
        <f t="shared" ref="N8:V8" si="4">SUM(N2:N7)</f>
        <v>45000</v>
      </c>
      <c r="O8" s="418">
        <f t="shared" si="4"/>
        <v>540000</v>
      </c>
      <c r="P8" s="418">
        <f t="shared" si="4"/>
        <v>0</v>
      </c>
      <c r="Q8" s="418">
        <f t="shared" si="4"/>
        <v>150000</v>
      </c>
      <c r="R8" s="418">
        <f t="shared" si="4"/>
        <v>420000</v>
      </c>
      <c r="S8" s="418">
        <f t="shared" si="4"/>
        <v>0</v>
      </c>
      <c r="T8" s="418">
        <f t="shared" si="4"/>
        <v>0</v>
      </c>
      <c r="U8" s="418">
        <f t="shared" si="4"/>
        <v>0</v>
      </c>
      <c r="V8" s="418">
        <f t="shared" si="4"/>
        <v>36000</v>
      </c>
      <c r="W8" s="418"/>
    </row>
    <row r="9" spans="1:44" ht="16.5" thickBot="1">
      <c r="B9" s="66"/>
      <c r="C9" s="42"/>
      <c r="D9" s="42"/>
      <c r="E9" s="38"/>
      <c r="F9" s="60"/>
      <c r="G9" s="21" t="s">
        <v>32</v>
      </c>
      <c r="H9" s="522">
        <f>SUM(H4:H8)</f>
        <v>272348</v>
      </c>
      <c r="I9" s="85">
        <f>IF(HerdSize=0,0,H9/HerdSize)</f>
        <v>907.82666666666671</v>
      </c>
      <c r="J9" s="103">
        <f>IF((C4+C5)=0,0,H9/(C4+C5))</f>
        <v>1035.5437262357414</v>
      </c>
      <c r="L9" s="416"/>
      <c r="M9" s="416"/>
      <c r="N9" s="416"/>
      <c r="O9" s="416"/>
      <c r="P9" s="416"/>
      <c r="Q9" s="416"/>
      <c r="R9" s="416"/>
      <c r="S9" s="416"/>
      <c r="T9" s="416"/>
      <c r="U9" s="416"/>
      <c r="V9" s="416"/>
      <c r="W9" s="416"/>
    </row>
    <row r="10" spans="1:44" ht="13.5" thickBot="1">
      <c r="B10" s="64"/>
      <c r="C10" s="22"/>
      <c r="D10" s="43"/>
      <c r="E10" s="22"/>
      <c r="F10" s="22"/>
      <c r="G10" s="22"/>
      <c r="H10" s="446"/>
      <c r="I10" s="22"/>
      <c r="J10" s="22"/>
      <c r="L10" s="416"/>
      <c r="M10" s="416"/>
      <c r="N10" s="416"/>
      <c r="O10" s="416"/>
      <c r="P10" s="416"/>
      <c r="Q10" s="416"/>
      <c r="R10" s="416"/>
      <c r="S10" s="416"/>
      <c r="T10" s="416"/>
      <c r="U10" s="416"/>
      <c r="V10" s="416"/>
      <c r="W10" s="416"/>
    </row>
    <row r="11" spans="1:44" ht="14.25" customHeight="1" thickBot="1">
      <c r="B11" s="66" t="s">
        <v>95</v>
      </c>
      <c r="C11" s="108"/>
      <c r="D11" s="109"/>
      <c r="E11" s="109"/>
      <c r="F11" s="109"/>
      <c r="G11" s="109"/>
      <c r="H11" s="523" t="s">
        <v>73</v>
      </c>
      <c r="I11" s="129" t="s">
        <v>90</v>
      </c>
      <c r="J11" s="113" t="s">
        <v>148</v>
      </c>
      <c r="L11" s="420"/>
      <c r="M11" s="420"/>
      <c r="N11" s="420"/>
      <c r="O11" s="420"/>
      <c r="P11" s="420"/>
      <c r="Q11" s="420"/>
      <c r="R11" s="420"/>
      <c r="S11" s="420"/>
      <c r="T11" s="420"/>
      <c r="U11" s="420"/>
      <c r="V11" s="416"/>
      <c r="W11" s="416"/>
    </row>
    <row r="12" spans="1:44">
      <c r="B12" s="78" t="s">
        <v>61</v>
      </c>
      <c r="C12" s="233" t="s">
        <v>43</v>
      </c>
      <c r="D12" s="234"/>
      <c r="E12" s="234" t="s">
        <v>5</v>
      </c>
      <c r="F12" s="45"/>
      <c r="G12" s="45"/>
      <c r="H12" s="524" t="s">
        <v>30</v>
      </c>
      <c r="I12" s="72" t="s">
        <v>30</v>
      </c>
      <c r="J12" s="70" t="s">
        <v>30</v>
      </c>
      <c r="L12" s="420"/>
      <c r="M12" s="420"/>
      <c r="N12" s="420"/>
      <c r="O12" s="420"/>
      <c r="P12" s="420"/>
      <c r="Q12" s="420"/>
      <c r="R12" s="420"/>
      <c r="S12" s="420"/>
      <c r="T12" s="420"/>
      <c r="U12" s="420"/>
      <c r="V12" s="416"/>
      <c r="W12" s="416"/>
    </row>
    <row r="13" spans="1:44">
      <c r="B13" s="211" t="s">
        <v>75</v>
      </c>
      <c r="C13" s="74"/>
      <c r="D13" s="112"/>
      <c r="E13" s="208"/>
      <c r="F13" s="208"/>
      <c r="G13" s="131" t="s">
        <v>82</v>
      </c>
      <c r="H13" s="445">
        <f>Bulls!H28</f>
        <v>10230.832499999999</v>
      </c>
      <c r="I13" s="432">
        <f>IF(HerdSize=0,0,H13/(HerdSize))</f>
        <v>34.102774999999994</v>
      </c>
      <c r="J13" s="556">
        <f>IF((C4+C5)=0,0,H13/(C4+C5))</f>
        <v>38.900503802281364</v>
      </c>
      <c r="L13" s="420"/>
      <c r="M13" s="420"/>
      <c r="N13" s="420"/>
      <c r="O13" s="420"/>
      <c r="P13" s="420"/>
      <c r="Q13" s="420"/>
      <c r="R13" s="420"/>
      <c r="S13" s="420"/>
      <c r="T13" s="420"/>
      <c r="U13" s="420"/>
      <c r="V13" s="416"/>
      <c r="W13" s="416"/>
    </row>
    <row r="14" spans="1:44" ht="13.5" thickBot="1">
      <c r="B14" s="211" t="s">
        <v>138</v>
      </c>
      <c r="C14" s="192">
        <f>Inputs!G13</f>
        <v>18</v>
      </c>
      <c r="D14" s="209"/>
      <c r="E14" s="193">
        <f>Inputs!G14</f>
        <v>2000</v>
      </c>
      <c r="F14" s="208" t="s">
        <v>34</v>
      </c>
      <c r="G14" s="208"/>
      <c r="H14" s="450">
        <f>IF(E14="N/A",0,C14*E14)</f>
        <v>36000</v>
      </c>
      <c r="I14" s="538">
        <f>IF(E14="N/A",0,IF(HerdSize=0,0,H14/(HerdSize)))</f>
        <v>120</v>
      </c>
      <c r="J14" s="557">
        <f>IF((C4+C5)=0,0,H14/(C4+C5))</f>
        <v>136.88212927756655</v>
      </c>
      <c r="L14" s="421"/>
      <c r="M14" s="420"/>
      <c r="N14" s="420"/>
      <c r="O14" s="420"/>
      <c r="P14" s="420"/>
      <c r="Q14" s="420"/>
      <c r="R14" s="420"/>
      <c r="S14" s="420"/>
      <c r="T14" s="420"/>
      <c r="U14" s="420"/>
      <c r="V14" s="416"/>
      <c r="W14" s="416"/>
    </row>
    <row r="15" spans="1:44" s="40" customFormat="1" ht="13.5" thickTop="1">
      <c r="A15" s="152"/>
      <c r="B15" s="211"/>
      <c r="C15" s="32"/>
      <c r="D15" s="209"/>
      <c r="E15" s="209"/>
      <c r="F15" s="208"/>
      <c r="G15" s="209" t="s">
        <v>68</v>
      </c>
      <c r="H15" s="525">
        <f>SUM(H13:H14)</f>
        <v>46230.832499999997</v>
      </c>
      <c r="I15" s="539">
        <f>SUM(I13:I14)</f>
        <v>154.10277500000001</v>
      </c>
      <c r="J15" s="441">
        <f>SUM(J13:J14)</f>
        <v>175.78263307984793</v>
      </c>
      <c r="K15" s="222"/>
      <c r="L15" s="416" t="s">
        <v>60</v>
      </c>
      <c r="M15" s="420"/>
      <c r="N15" s="420"/>
      <c r="O15" s="420"/>
      <c r="P15" s="420"/>
      <c r="Q15" s="420"/>
      <c r="R15" s="420"/>
      <c r="S15" s="420"/>
      <c r="T15" s="420"/>
      <c r="U15" s="420"/>
      <c r="V15" s="416"/>
      <c r="W15" s="416"/>
      <c r="X15" s="223"/>
      <c r="Y15" s="157"/>
      <c r="Z15" s="157"/>
      <c r="AA15" s="157"/>
      <c r="AB15" s="157"/>
      <c r="AC15" s="157"/>
      <c r="AD15" s="157"/>
      <c r="AE15" s="157"/>
      <c r="AF15" s="157"/>
      <c r="AG15" s="157"/>
      <c r="AH15" s="157"/>
      <c r="AI15" s="157"/>
      <c r="AJ15" s="157"/>
      <c r="AK15" s="157"/>
      <c r="AL15" s="157"/>
      <c r="AM15" s="157"/>
      <c r="AN15" s="157"/>
      <c r="AO15" s="157"/>
      <c r="AP15" s="157"/>
      <c r="AQ15" s="157"/>
      <c r="AR15" s="157"/>
    </row>
    <row r="16" spans="1:44" s="61" customFormat="1" ht="12.75" customHeight="1">
      <c r="A16" s="152"/>
      <c r="B16" s="211"/>
      <c r="C16" s="820" t="s">
        <v>152</v>
      </c>
      <c r="D16" s="231"/>
      <c r="E16" s="822" t="s">
        <v>153</v>
      </c>
      <c r="F16" s="208"/>
      <c r="G16" s="208"/>
      <c r="H16" s="365"/>
      <c r="I16" s="540"/>
      <c r="J16" s="558"/>
      <c r="K16" s="222"/>
      <c r="L16" s="416" t="s">
        <v>63</v>
      </c>
      <c r="M16" s="422"/>
      <c r="N16" s="420"/>
      <c r="O16" s="420"/>
      <c r="P16" s="420"/>
      <c r="Q16" s="423"/>
      <c r="R16" s="423"/>
      <c r="S16" s="423"/>
      <c r="T16" s="423"/>
      <c r="U16" s="423"/>
      <c r="V16" s="460"/>
      <c r="W16" s="416"/>
      <c r="X16" s="223"/>
      <c r="Y16" s="161"/>
      <c r="Z16" s="161"/>
      <c r="AA16" s="161"/>
      <c r="AB16" s="161"/>
      <c r="AC16" s="161"/>
      <c r="AD16" s="161">
        <v>1</v>
      </c>
      <c r="AE16" s="161"/>
      <c r="AF16" s="157"/>
      <c r="AG16" s="157"/>
      <c r="AH16" s="157"/>
      <c r="AI16" s="157"/>
      <c r="AJ16" s="157"/>
      <c r="AK16" s="157"/>
      <c r="AL16" s="157"/>
      <c r="AM16" s="157"/>
      <c r="AN16" s="157"/>
      <c r="AO16" s="157"/>
      <c r="AP16" s="157"/>
      <c r="AQ16" s="157"/>
      <c r="AR16" s="157"/>
    </row>
    <row r="17" spans="1:44" s="61" customFormat="1" ht="14.25" customHeight="1">
      <c r="A17" s="152"/>
      <c r="B17" s="79" t="s">
        <v>89</v>
      </c>
      <c r="C17" s="821"/>
      <c r="D17" s="231"/>
      <c r="E17" s="822"/>
      <c r="F17" s="824" t="s">
        <v>5</v>
      </c>
      <c r="G17" s="837"/>
      <c r="H17" s="526" t="s">
        <v>30</v>
      </c>
      <c r="I17" s="541" t="s">
        <v>30</v>
      </c>
      <c r="J17" s="559" t="s">
        <v>30</v>
      </c>
      <c r="K17" s="222"/>
      <c r="L17" s="424"/>
      <c r="M17" s="425"/>
      <c r="N17" s="420"/>
      <c r="O17" s="420"/>
      <c r="P17" s="422"/>
      <c r="Q17" s="423"/>
      <c r="R17" s="423"/>
      <c r="S17" s="423"/>
      <c r="T17" s="423"/>
      <c r="U17" s="423"/>
      <c r="V17" s="460"/>
      <c r="W17" s="416"/>
      <c r="X17" s="222"/>
      <c r="Y17" s="161"/>
      <c r="Z17" s="161"/>
      <c r="AA17" s="161"/>
      <c r="AB17" s="161"/>
      <c r="AC17" s="161"/>
      <c r="AD17" s="161"/>
      <c r="AE17" s="161"/>
      <c r="AF17" s="157"/>
      <c r="AG17" s="157"/>
      <c r="AH17" s="157"/>
      <c r="AI17" s="157"/>
      <c r="AJ17" s="157"/>
      <c r="AK17" s="157"/>
      <c r="AL17" s="157"/>
      <c r="AM17" s="157"/>
      <c r="AN17" s="157"/>
      <c r="AO17" s="157"/>
      <c r="AP17" s="157"/>
      <c r="AQ17" s="157"/>
      <c r="AR17" s="157"/>
    </row>
    <row r="18" spans="1:44" ht="12.75" customHeight="1">
      <c r="B18" s="723" t="s">
        <v>270</v>
      </c>
      <c r="C18" s="722">
        <v>150</v>
      </c>
      <c r="D18" s="86" t="str">
        <f t="shared" ref="D18:D23" si="5">IF(B18="","",CONCATENATE(VLOOKUP(B18,Feed,5,FALSE)))</f>
        <v>day</v>
      </c>
      <c r="E18" s="724" t="s">
        <v>60</v>
      </c>
      <c r="F18" s="838" t="str">
        <f t="shared" ref="F18:F23" si="6">IF(B18="","",CONCATENATE("@ ",TEXT(VLOOKUP($B18,Feed,7,FALSE),"0.00")," per ",VLOOKUP(B18,Feed,5,FALSE)))</f>
        <v>@ 1.67 per day</v>
      </c>
      <c r="G18" s="839"/>
      <c r="H18" s="445">
        <f t="shared" ref="H18:H23" si="7">IF(B18=0,0,IF(E18="",0,C18*VLOOKUP(B18,Feed,7,FALSE)*IF(E18="total",1,HerdSize)))</f>
        <v>75000</v>
      </c>
      <c r="I18" s="432">
        <f>IF(HerdSize=0,0,IF('Breeding Herd'!H18=0,0,'Breeding Herd'!H18/HerdSize))</f>
        <v>250</v>
      </c>
      <c r="J18" s="556">
        <f>IF((C4+C5)=0,0,IF(H18=0,0,H18/(C4+C5)))</f>
        <v>285.17110266159693</v>
      </c>
      <c r="L18" s="416">
        <f t="shared" ref="L18:L23" si="8">C18*IF(E18="total",1,IF(E18="per animal",HerdSize,0))</f>
        <v>45000</v>
      </c>
      <c r="M18" s="426"/>
      <c r="N18" s="420"/>
      <c r="O18" s="420"/>
      <c r="P18" s="427"/>
      <c r="Q18" s="427"/>
      <c r="R18" s="428"/>
      <c r="S18" s="428"/>
      <c r="T18" s="428"/>
      <c r="U18" s="428"/>
      <c r="V18" s="461"/>
      <c r="W18" s="416"/>
      <c r="X18" s="223"/>
      <c r="AD18" s="157">
        <v>2</v>
      </c>
    </row>
    <row r="19" spans="1:44" ht="14.25" customHeight="1">
      <c r="B19" s="723" t="s">
        <v>253</v>
      </c>
      <c r="C19" s="722">
        <v>1400</v>
      </c>
      <c r="D19" s="277" t="str">
        <f t="shared" si="5"/>
        <v>ounce</v>
      </c>
      <c r="E19" s="724" t="s">
        <v>60</v>
      </c>
      <c r="F19" s="838" t="str">
        <f t="shared" si="6"/>
        <v>@ 0.03 per ounce</v>
      </c>
      <c r="G19" s="839"/>
      <c r="H19" s="445">
        <f t="shared" si="7"/>
        <v>11812.5</v>
      </c>
      <c r="I19" s="432">
        <f>IF(HerdSize=0,0,IF('Breeding Herd'!H19=0,0,'Breeding Herd'!H19/HerdSize))</f>
        <v>39.375</v>
      </c>
      <c r="J19" s="556">
        <f>IF((C4+C5)=0,0,IF(H19=0,0,H19/(C4+C5)))</f>
        <v>44.914448669201519</v>
      </c>
      <c r="L19" s="416">
        <f t="shared" si="8"/>
        <v>420000</v>
      </c>
      <c r="M19" s="426"/>
      <c r="N19" s="420"/>
      <c r="O19" s="420"/>
      <c r="P19" s="427"/>
      <c r="Q19" s="427"/>
      <c r="R19" s="428"/>
      <c r="S19" s="428"/>
      <c r="T19" s="428"/>
      <c r="U19" s="428"/>
      <c r="V19" s="461"/>
      <c r="W19" s="416"/>
      <c r="X19" s="223"/>
      <c r="AD19" s="157">
        <v>3</v>
      </c>
    </row>
    <row r="20" spans="1:44">
      <c r="B20" s="723" t="s">
        <v>248</v>
      </c>
      <c r="C20" s="722">
        <v>1800</v>
      </c>
      <c r="D20" s="277" t="str">
        <f t="shared" si="5"/>
        <v>lbs</v>
      </c>
      <c r="E20" s="724" t="s">
        <v>60</v>
      </c>
      <c r="F20" s="838" t="str">
        <f t="shared" si="6"/>
        <v>@ 0.07 per lbs</v>
      </c>
      <c r="G20" s="839"/>
      <c r="H20" s="445">
        <f t="shared" si="7"/>
        <v>35100</v>
      </c>
      <c r="I20" s="432">
        <f>IF(HerdSize=0,0,IF('Breeding Herd'!H20=0,0,'Breeding Herd'!H20/HerdSize))</f>
        <v>117</v>
      </c>
      <c r="J20" s="556">
        <f>IF((C4+C5)=0,0,IF(H20=0,0,H20/(C4+C5)))</f>
        <v>133.46007604562737</v>
      </c>
      <c r="L20" s="222">
        <f t="shared" si="8"/>
        <v>540000</v>
      </c>
      <c r="M20" s="413"/>
      <c r="N20" s="412"/>
      <c r="O20" s="412"/>
      <c r="P20" s="414"/>
      <c r="Q20" s="414"/>
      <c r="R20" s="415"/>
      <c r="S20" s="415"/>
      <c r="T20" s="415"/>
      <c r="U20" s="415"/>
      <c r="V20" s="164"/>
      <c r="X20" s="223"/>
      <c r="AD20" s="157">
        <v>4</v>
      </c>
    </row>
    <row r="21" spans="1:44">
      <c r="B21" s="723" t="s">
        <v>259</v>
      </c>
      <c r="C21" s="722">
        <v>120</v>
      </c>
      <c r="D21" s="277" t="str">
        <f t="shared" si="5"/>
        <v>day</v>
      </c>
      <c r="E21" s="725" t="s">
        <v>60</v>
      </c>
      <c r="F21" s="838" t="str">
        <f t="shared" si="6"/>
        <v>@ 0.50 per day</v>
      </c>
      <c r="G21" s="839"/>
      <c r="H21" s="445">
        <f t="shared" si="7"/>
        <v>18000</v>
      </c>
      <c r="I21" s="432">
        <f>IF(HerdSize=0,0,IF('Breeding Herd'!H21=0,0,'Breeding Herd'!H21/HerdSize))</f>
        <v>60</v>
      </c>
      <c r="J21" s="556">
        <f>IF((C4+C5)=0,0,IF(H21=0,0,H21/(C4+C5)))</f>
        <v>68.441064638783274</v>
      </c>
      <c r="L21" s="222">
        <f t="shared" si="8"/>
        <v>36000</v>
      </c>
      <c r="M21" s="413"/>
      <c r="N21" s="412"/>
      <c r="O21" s="414"/>
      <c r="P21" s="414"/>
      <c r="Q21" s="414"/>
      <c r="R21" s="415"/>
      <c r="S21" s="415"/>
      <c r="T21" s="415"/>
      <c r="U21" s="415"/>
      <c r="V21" s="164"/>
      <c r="X21" s="223"/>
      <c r="AD21" s="157">
        <v>5</v>
      </c>
    </row>
    <row r="22" spans="1:44">
      <c r="B22" s="226" t="s">
        <v>252</v>
      </c>
      <c r="C22" s="203">
        <v>500</v>
      </c>
      <c r="D22" s="277" t="str">
        <f t="shared" si="5"/>
        <v>lbs</v>
      </c>
      <c r="E22" s="227" t="s">
        <v>60</v>
      </c>
      <c r="F22" s="838" t="str">
        <f t="shared" si="6"/>
        <v>@ 0.15 per lbs</v>
      </c>
      <c r="G22" s="839"/>
      <c r="H22" s="445">
        <f t="shared" si="7"/>
        <v>22500</v>
      </c>
      <c r="I22" s="432">
        <f>IF(HerdSize=0,0,IF('Breeding Herd'!H22=0,0,'Breeding Herd'!H22/HerdSize))</f>
        <v>75</v>
      </c>
      <c r="J22" s="556">
        <f>IF((C4+C5)=0,0,IF(H22=0,0,H22/(C4+C5)))</f>
        <v>85.551330798479086</v>
      </c>
      <c r="L22" s="222">
        <f t="shared" si="8"/>
        <v>150000</v>
      </c>
      <c r="M22" s="413"/>
      <c r="N22" s="412"/>
      <c r="O22" s="414"/>
      <c r="P22" s="414"/>
      <c r="Q22" s="414"/>
      <c r="R22" s="415"/>
      <c r="S22" s="415"/>
      <c r="T22" s="415"/>
      <c r="U22" s="415"/>
      <c r="V22" s="164"/>
      <c r="X22" s="223"/>
      <c r="AD22" s="157">
        <v>6</v>
      </c>
    </row>
    <row r="23" spans="1:44">
      <c r="B23" s="226"/>
      <c r="C23" s="203"/>
      <c r="D23" s="277" t="str">
        <f t="shared" si="5"/>
        <v/>
      </c>
      <c r="E23" s="228" t="s">
        <v>60</v>
      </c>
      <c r="F23" s="838" t="str">
        <f t="shared" si="6"/>
        <v/>
      </c>
      <c r="G23" s="839"/>
      <c r="H23" s="445">
        <f t="shared" si="7"/>
        <v>0</v>
      </c>
      <c r="I23" s="432">
        <f>IF(HerdSize=0,0,IF('Breeding Herd'!H23=0,0,'Breeding Herd'!H23/HerdSize))</f>
        <v>0</v>
      </c>
      <c r="J23" s="556">
        <f>IF((C4+C5)=0,0,IF(H23=0,0,H23/(C4+C5)))</f>
        <v>0</v>
      </c>
      <c r="L23" s="222">
        <f t="shared" si="8"/>
        <v>0</v>
      </c>
      <c r="M23" s="413"/>
      <c r="N23" s="412"/>
      <c r="O23" s="414"/>
      <c r="P23" s="414"/>
      <c r="Q23" s="414"/>
      <c r="R23" s="415"/>
      <c r="S23" s="415"/>
      <c r="T23" s="415"/>
      <c r="U23" s="415"/>
      <c r="V23" s="164"/>
      <c r="X23" s="223"/>
      <c r="AD23" s="157">
        <v>7</v>
      </c>
    </row>
    <row r="24" spans="1:44" s="40" customFormat="1" ht="13.5" thickBot="1">
      <c r="A24" s="152"/>
      <c r="B24" s="211" t="s">
        <v>91</v>
      </c>
      <c r="C24" s="840" t="s">
        <v>69</v>
      </c>
      <c r="D24" s="841"/>
      <c r="E24" s="841"/>
      <c r="F24" s="841"/>
      <c r="G24" s="842"/>
      <c r="H24" s="457">
        <f>Replacements!H11</f>
        <v>9507.25</v>
      </c>
      <c r="I24" s="538">
        <f>IF(HerdSize=0,"",IF('Breeding Herd'!H24=0,0,'Breeding Herd'!H24/HerdSize))</f>
        <v>31.690833333333334</v>
      </c>
      <c r="J24" s="557">
        <f>IF(HerdSize=0,0,IF(H24=0,0,H24/((C4+C5))))</f>
        <v>36.149239543726239</v>
      </c>
      <c r="K24" s="222"/>
      <c r="L24" s="222"/>
      <c r="M24" s="413"/>
      <c r="N24" s="412"/>
      <c r="O24" s="414"/>
      <c r="P24" s="414"/>
      <c r="Q24" s="414"/>
      <c r="R24" s="415"/>
      <c r="S24" s="415"/>
      <c r="T24" s="415"/>
      <c r="U24" s="415"/>
      <c r="V24" s="164"/>
      <c r="W24" s="222"/>
      <c r="X24" s="223"/>
      <c r="Y24" s="157"/>
      <c r="Z24" s="157"/>
      <c r="AA24" s="157"/>
      <c r="AB24" s="157"/>
      <c r="AC24" s="157"/>
      <c r="AD24" s="157"/>
      <c r="AE24" s="157"/>
      <c r="AF24" s="157"/>
      <c r="AG24" s="157"/>
      <c r="AH24" s="157"/>
      <c r="AI24" s="157"/>
      <c r="AJ24" s="157"/>
      <c r="AK24" s="157"/>
      <c r="AL24" s="157"/>
      <c r="AM24" s="157"/>
      <c r="AN24" s="157"/>
      <c r="AO24" s="157"/>
      <c r="AP24" s="157"/>
      <c r="AQ24" s="157"/>
      <c r="AR24" s="157"/>
    </row>
    <row r="25" spans="1:44" ht="13.5" thickTop="1">
      <c r="B25" s="211"/>
      <c r="C25" s="210"/>
      <c r="D25" s="208"/>
      <c r="E25" s="208"/>
      <c r="F25" s="68"/>
      <c r="G25" s="28" t="s">
        <v>35</v>
      </c>
      <c r="H25" s="525">
        <f>SUM(H18:H24)</f>
        <v>171919.75</v>
      </c>
      <c r="I25" s="539">
        <f>SUM(I18:I24)</f>
        <v>573.06583333333333</v>
      </c>
      <c r="J25" s="441">
        <f>SUM(J18:J24)</f>
        <v>653.6872623574144</v>
      </c>
      <c r="M25" s="412"/>
      <c r="N25" s="412"/>
      <c r="O25" s="412"/>
      <c r="P25" s="412"/>
      <c r="Q25" s="412"/>
      <c r="R25" s="412"/>
      <c r="S25" s="412"/>
      <c r="T25" s="412"/>
      <c r="U25" s="412"/>
      <c r="X25" s="223"/>
    </row>
    <row r="26" spans="1:44" ht="12.75" customHeight="1">
      <c r="B26" s="211"/>
      <c r="C26" s="210"/>
      <c r="D26" s="208"/>
      <c r="E26" s="208"/>
      <c r="F26" s="208"/>
      <c r="G26" s="208"/>
      <c r="H26" s="365"/>
      <c r="I26" s="540"/>
      <c r="J26" s="560"/>
      <c r="M26" s="412"/>
      <c r="N26" s="412"/>
      <c r="O26" s="412"/>
      <c r="P26" s="412"/>
      <c r="Q26" s="412"/>
      <c r="R26" s="412"/>
      <c r="S26" s="412"/>
      <c r="T26" s="412"/>
      <c r="U26" s="412"/>
      <c r="X26" s="223"/>
      <c r="AE26" s="158"/>
    </row>
    <row r="27" spans="1:44">
      <c r="B27" s="79" t="s">
        <v>46</v>
      </c>
      <c r="C27" s="95" t="s">
        <v>55</v>
      </c>
      <c r="D27" s="830" t="s">
        <v>124</v>
      </c>
      <c r="E27" s="830"/>
      <c r="F27" s="83" t="s">
        <v>47</v>
      </c>
      <c r="G27" s="235"/>
      <c r="H27" s="527" t="s">
        <v>30</v>
      </c>
      <c r="I27" s="541" t="s">
        <v>30</v>
      </c>
      <c r="J27" s="559" t="s">
        <v>30</v>
      </c>
      <c r="M27" s="412"/>
      <c r="N27" s="412"/>
      <c r="O27" s="412"/>
      <c r="P27" s="412"/>
      <c r="Q27" s="412"/>
      <c r="R27" s="412"/>
      <c r="S27" s="412"/>
      <c r="T27" s="412"/>
      <c r="U27" s="412"/>
      <c r="X27" s="223"/>
      <c r="AE27" s="158"/>
    </row>
    <row r="28" spans="1:44">
      <c r="B28" s="211" t="str">
        <f>Inputs!B81</f>
        <v>Labor</v>
      </c>
      <c r="C28" s="214">
        <f>Inputs!D81</f>
        <v>10</v>
      </c>
      <c r="D28" s="833" t="str">
        <f>Inputs!E81</f>
        <v>per animal</v>
      </c>
      <c r="E28" s="833"/>
      <c r="F28" s="124">
        <f>Inputs!Q81</f>
        <v>0.93885666805825407</v>
      </c>
      <c r="G28" s="68"/>
      <c r="H28" s="445">
        <f>IF(F28=0,0,F28*C28*IF(D28="per animal",HerdSize,1))</f>
        <v>2816.5700041747623</v>
      </c>
      <c r="I28" s="432">
        <f>IF(HerdSize=0,0,IF('Breeding Herd'!H28="","",'Breeding Herd'!H28/HerdSize))</f>
        <v>9.3885666805825405</v>
      </c>
      <c r="J28" s="556">
        <f>IF((C4+C5)=0,"",IF(H28="","",H28/((C4+C5))))</f>
        <v>10.709391650854609</v>
      </c>
      <c r="M28" s="412"/>
      <c r="N28" s="412"/>
      <c r="O28" s="412"/>
      <c r="P28" s="412"/>
      <c r="Q28" s="412"/>
      <c r="R28" s="412"/>
      <c r="S28" s="412"/>
      <c r="T28" s="412"/>
      <c r="U28" s="412"/>
      <c r="AE28" s="158"/>
    </row>
    <row r="29" spans="1:44">
      <c r="B29" s="211" t="str">
        <f>Inputs!B82</f>
        <v xml:space="preserve">Fuel / transportation </v>
      </c>
      <c r="C29" s="214">
        <f>Inputs!D82</f>
        <v>15</v>
      </c>
      <c r="D29" s="833" t="str">
        <f>Inputs!E82</f>
        <v>per animal</v>
      </c>
      <c r="E29" s="833"/>
      <c r="F29" s="124">
        <f>Inputs!Q82</f>
        <v>0.93885666805825407</v>
      </c>
      <c r="G29" s="208"/>
      <c r="H29" s="445">
        <f>IF(F29=0,0,F29*C29*IF(D29="per animal",HerdSize,1))</f>
        <v>4224.8550062621434</v>
      </c>
      <c r="I29" s="432">
        <f>IF(HerdSize=0,0,IF('Breeding Herd'!H29="","",'Breeding Herd'!H29/HerdSize))</f>
        <v>14.082850020873812</v>
      </c>
      <c r="J29" s="556">
        <f>IF((C4+C5)=0,"",IF(H29="","",H29/((C4+C5))))</f>
        <v>16.064087476281916</v>
      </c>
      <c r="M29" s="412"/>
      <c r="N29" s="412"/>
      <c r="O29" s="412"/>
      <c r="P29" s="412"/>
      <c r="Q29" s="412"/>
      <c r="R29" s="412"/>
      <c r="S29" s="412"/>
      <c r="T29" s="412"/>
      <c r="U29" s="412"/>
      <c r="AE29" s="158"/>
    </row>
    <row r="30" spans="1:44">
      <c r="B30" s="211" t="str">
        <f>Inputs!B83</f>
        <v>Veterinary and Medical</v>
      </c>
      <c r="C30" s="214">
        <f>Inputs!D83</f>
        <v>30</v>
      </c>
      <c r="D30" s="833" t="str">
        <f>Inputs!E83</f>
        <v>per animal</v>
      </c>
      <c r="E30" s="833"/>
      <c r="F30" s="124">
        <f>Inputs!Q83</f>
        <v>0.93885666805825407</v>
      </c>
      <c r="G30" s="208"/>
      <c r="H30" s="445">
        <f>IF(F30=0,0,F30*C30*IF(D30="per animal",HerdSize,1))</f>
        <v>8449.7100125242869</v>
      </c>
      <c r="I30" s="432">
        <f>IF(HerdSize=0,0,IF('Breeding Herd'!H30="","",'Breeding Herd'!H30/HerdSize))</f>
        <v>28.165700041747623</v>
      </c>
      <c r="J30" s="556">
        <f>IF((C4+C5)=0,"",IF(H30="","",H30/((C4+C5))))</f>
        <v>32.128174952563832</v>
      </c>
      <c r="M30" s="412"/>
      <c r="N30" s="412"/>
      <c r="O30" s="412"/>
      <c r="P30" s="412"/>
      <c r="Q30" s="412"/>
      <c r="R30" s="412"/>
      <c r="S30" s="412"/>
      <c r="T30" s="412"/>
      <c r="U30" s="412"/>
      <c r="AE30" s="158"/>
    </row>
    <row r="31" spans="1:44">
      <c r="B31" s="249" t="str">
        <f>Inputs!B84</f>
        <v>Cull Cow Marketing</v>
      </c>
      <c r="C31" s="214">
        <f>Inputs!X84</f>
        <v>30</v>
      </c>
      <c r="D31" s="833" t="s">
        <v>60</v>
      </c>
      <c r="E31" s="833"/>
      <c r="F31" s="124"/>
      <c r="G31" s="208"/>
      <c r="H31" s="445">
        <f>C31*(Inputs!G5-Inputs!G62)</f>
        <v>870</v>
      </c>
      <c r="I31" s="432">
        <f>IF(HerdSize=0,0,IF('Breeding Herd'!H31="","",'Breeding Herd'!H31/HerdSize))</f>
        <v>2.9</v>
      </c>
      <c r="J31" s="556">
        <f>IF((C4+C5)=0,"",IF(H31="","",H31/((C4+C5))))</f>
        <v>3.3079847908745248</v>
      </c>
      <c r="M31" s="412"/>
      <c r="N31" s="412"/>
      <c r="O31" s="412"/>
      <c r="P31" s="412"/>
      <c r="Q31" s="412"/>
      <c r="R31" s="412"/>
      <c r="S31" s="412"/>
      <c r="T31" s="412"/>
      <c r="U31" s="412"/>
      <c r="AE31" s="158"/>
    </row>
    <row r="32" spans="1:44" s="238" customFormat="1">
      <c r="A32" s="276"/>
      <c r="B32" s="249" t="str">
        <f>Inputs!B86</f>
        <v>Cull Replacement Marketing</v>
      </c>
      <c r="C32" s="214">
        <f>Inputs!X86</f>
        <v>30</v>
      </c>
      <c r="D32" s="833" t="s">
        <v>60</v>
      </c>
      <c r="E32" s="833"/>
      <c r="F32" s="124"/>
      <c r="G32" s="250"/>
      <c r="H32" s="445">
        <f>Inputs!Z86</f>
        <v>0</v>
      </c>
      <c r="I32" s="432">
        <f>IF(HerdSize=0,0,IF('Breeding Herd'!H32="","",'Breeding Herd'!H32/HerdSize))</f>
        <v>0</v>
      </c>
      <c r="J32" s="556">
        <f>IF((C5+C6)=0,"",IF(H32="","",H32/((C5+C6))))</f>
        <v>0</v>
      </c>
      <c r="K32" s="222"/>
      <c r="L32" s="222"/>
      <c r="M32" s="412"/>
      <c r="N32" s="412"/>
      <c r="O32" s="412"/>
      <c r="P32" s="412"/>
      <c r="Q32" s="412"/>
      <c r="R32" s="412"/>
      <c r="S32" s="412"/>
      <c r="T32" s="412"/>
      <c r="U32" s="412"/>
      <c r="V32" s="222"/>
      <c r="W32" s="222"/>
      <c r="X32" s="222"/>
      <c r="Y32" s="222"/>
      <c r="Z32" s="222"/>
      <c r="AA32" s="222"/>
      <c r="AB32" s="222"/>
      <c r="AC32" s="222"/>
      <c r="AD32" s="222"/>
      <c r="AE32" s="223"/>
      <c r="AF32" s="222"/>
      <c r="AG32" s="222"/>
      <c r="AH32" s="222"/>
      <c r="AI32" s="222"/>
      <c r="AJ32" s="222"/>
      <c r="AK32" s="222"/>
      <c r="AL32" s="222"/>
      <c r="AM32" s="222"/>
      <c r="AN32" s="222"/>
      <c r="AO32" s="222"/>
      <c r="AP32" s="222"/>
      <c r="AQ32" s="222"/>
      <c r="AR32" s="222"/>
    </row>
    <row r="33" spans="1:44" s="40" customFormat="1">
      <c r="A33" s="152"/>
      <c r="B33" s="249" t="str">
        <f>Inputs!B87</f>
        <v>Weaned Calf Marketing</v>
      </c>
      <c r="C33" s="214">
        <f>Inputs!X87</f>
        <v>20</v>
      </c>
      <c r="D33" s="833" t="s">
        <v>60</v>
      </c>
      <c r="E33" s="833"/>
      <c r="F33" s="124"/>
      <c r="G33" s="208"/>
      <c r="H33" s="445">
        <f>(C4+C5)*C33</f>
        <v>5260</v>
      </c>
      <c r="I33" s="432">
        <f>IF(HerdSize=0,0,IF('Breeding Herd'!H33="","",'Breeding Herd'!H33/HerdSize))</f>
        <v>17.533333333333335</v>
      </c>
      <c r="J33" s="556">
        <f>IF((C4+C5)=0,"",IF(H33="","",H33/((C4+C5))))</f>
        <v>20</v>
      </c>
      <c r="K33" s="222"/>
      <c r="L33" s="222"/>
      <c r="M33" s="412"/>
      <c r="N33" s="412"/>
      <c r="O33" s="412"/>
      <c r="P33" s="412"/>
      <c r="Q33" s="412"/>
      <c r="R33" s="412"/>
      <c r="S33" s="412"/>
      <c r="T33" s="412"/>
      <c r="U33" s="412"/>
      <c r="V33" s="222"/>
      <c r="W33" s="222"/>
      <c r="X33" s="222"/>
      <c r="Y33" s="157"/>
      <c r="Z33" s="157"/>
      <c r="AA33" s="157"/>
      <c r="AB33" s="157"/>
      <c r="AC33" s="157"/>
      <c r="AD33" s="157"/>
      <c r="AE33" s="158"/>
      <c r="AF33" s="157"/>
      <c r="AG33" s="157"/>
      <c r="AH33" s="157"/>
      <c r="AI33" s="157"/>
      <c r="AJ33" s="157"/>
      <c r="AK33" s="157"/>
      <c r="AL33" s="157"/>
      <c r="AM33" s="157"/>
      <c r="AN33" s="157"/>
      <c r="AO33" s="157"/>
      <c r="AP33" s="157"/>
      <c r="AQ33" s="157"/>
      <c r="AR33" s="157"/>
    </row>
    <row r="34" spans="1:44" hidden="1">
      <c r="B34" s="249">
        <f>Inputs!B91</f>
        <v>0</v>
      </c>
      <c r="C34" s="214">
        <f>Inputs!D91</f>
        <v>0</v>
      </c>
      <c r="D34" s="829">
        <f>Inputs!E91</f>
        <v>0</v>
      </c>
      <c r="E34" s="829"/>
      <c r="F34" s="124">
        <f>IF(C34=0,0,Inputs!Q91)</f>
        <v>0</v>
      </c>
      <c r="G34" s="208"/>
      <c r="H34" s="445">
        <f>IF(C34=0,0,IF(F34=0,0,F34*C34*IF(D34="per animal",HerdSize,1)))</f>
        <v>0</v>
      </c>
      <c r="I34" s="432">
        <f>IF(HerdSize=0,0,IF('Breeding Herd'!H34="","",'Breeding Herd'!H34/HerdSize))</f>
        <v>0</v>
      </c>
      <c r="J34" s="556">
        <f>IF((C4+C5)=0,"",IF(H34="","",H34/((C4+C5))))</f>
        <v>0</v>
      </c>
      <c r="M34" s="412"/>
      <c r="N34" s="412"/>
      <c r="O34" s="412"/>
      <c r="P34" s="412"/>
      <c r="Q34" s="412"/>
      <c r="R34" s="412"/>
      <c r="S34" s="412"/>
      <c r="T34" s="412"/>
      <c r="U34" s="412"/>
      <c r="AE34" s="158"/>
    </row>
    <row r="35" spans="1:44" hidden="1">
      <c r="B35" s="249">
        <f>Inputs!B92</f>
        <v>0</v>
      </c>
      <c r="C35" s="214">
        <f>Inputs!D92</f>
        <v>0</v>
      </c>
      <c r="D35" s="829">
        <f>Inputs!E92</f>
        <v>0</v>
      </c>
      <c r="E35" s="829"/>
      <c r="F35" s="124">
        <f>IF(C35=0,0,Inputs!Q92)</f>
        <v>0</v>
      </c>
      <c r="G35" s="208"/>
      <c r="H35" s="445">
        <f>IF(B35=0,0,IF(F35=0,0,F35*C35*IF(D35="per animal",HerdSize,1)))</f>
        <v>0</v>
      </c>
      <c r="I35" s="432">
        <f>IF(HerdSize=0,0,IF('Breeding Herd'!H35="","",'Breeding Herd'!H35/HerdSize))</f>
        <v>0</v>
      </c>
      <c r="J35" s="556">
        <f>IF((C4+C5)=0,"",IF(H35="","",H35/((C4+C5))))</f>
        <v>0</v>
      </c>
      <c r="L35" s="223"/>
      <c r="M35" s="412"/>
      <c r="N35" s="412"/>
      <c r="O35" s="412"/>
      <c r="P35" s="412"/>
      <c r="Q35" s="412"/>
      <c r="R35" s="412"/>
      <c r="S35" s="412"/>
      <c r="T35" s="412"/>
      <c r="U35" s="412"/>
      <c r="AE35" s="158"/>
    </row>
    <row r="36" spans="1:44" hidden="1">
      <c r="B36" s="249">
        <f>Inputs!B93</f>
        <v>0</v>
      </c>
      <c r="C36" s="214">
        <f>Inputs!D93</f>
        <v>0</v>
      </c>
      <c r="D36" s="829">
        <f>Inputs!E93</f>
        <v>0</v>
      </c>
      <c r="E36" s="829"/>
      <c r="F36" s="124">
        <f>IF(C36=0,0,Inputs!Q93)</f>
        <v>0</v>
      </c>
      <c r="G36" s="208"/>
      <c r="H36" s="445">
        <f>IF(B36=0,0,IF(F36=0,0,F36*C36*IF(D36="per animal",HerdSize,1)))</f>
        <v>0</v>
      </c>
      <c r="I36" s="432">
        <f>IF(HerdSize=0,0,IF('Breeding Herd'!H36="","",'Breeding Herd'!H36/HerdSize))</f>
        <v>0</v>
      </c>
      <c r="J36" s="556">
        <f>IF((C4+C5)=0,"",IF(H36="","",H36/((C4+C5))))</f>
        <v>0</v>
      </c>
      <c r="L36" s="223"/>
      <c r="M36" s="412"/>
      <c r="N36" s="412"/>
      <c r="O36" s="412"/>
      <c r="P36" s="412"/>
      <c r="Q36" s="412"/>
      <c r="R36" s="412"/>
      <c r="S36" s="412"/>
      <c r="T36" s="412"/>
      <c r="U36" s="412"/>
      <c r="AE36" s="158"/>
    </row>
    <row r="37" spans="1:44" hidden="1">
      <c r="B37" s="249">
        <f>Inputs!B94</f>
        <v>0</v>
      </c>
      <c r="C37" s="214">
        <f>Inputs!D94</f>
        <v>0</v>
      </c>
      <c r="D37" s="829">
        <f>Inputs!E94</f>
        <v>0</v>
      </c>
      <c r="E37" s="829"/>
      <c r="F37" s="124">
        <f>IF(C37=0,0,Inputs!Q94)</f>
        <v>0</v>
      </c>
      <c r="G37" s="208"/>
      <c r="H37" s="445">
        <f>IF(B37=0,0,IF(F37=0,0,F37*C37*IF(D37="per animal",HerdSize,1)))</f>
        <v>0</v>
      </c>
      <c r="I37" s="432">
        <f>IF(HerdSize=0,0,IF('Breeding Herd'!H37="","",'Breeding Herd'!H37/HerdSize))</f>
        <v>0</v>
      </c>
      <c r="J37" s="556">
        <f>IF((C4+C5)=0,"",IF(H37="","",H37/((C4+C5))))</f>
        <v>0</v>
      </c>
      <c r="M37" s="412"/>
      <c r="N37" s="412"/>
      <c r="O37" s="412"/>
      <c r="P37" s="412"/>
      <c r="Q37" s="412"/>
      <c r="R37" s="412"/>
      <c r="S37" s="412"/>
      <c r="T37" s="412"/>
      <c r="U37" s="412"/>
    </row>
    <row r="38" spans="1:44" hidden="1">
      <c r="B38" s="249">
        <f>Inputs!B95</f>
        <v>0</v>
      </c>
      <c r="C38" s="214">
        <f>Inputs!D95</f>
        <v>0</v>
      </c>
      <c r="D38" s="829">
        <f>Inputs!E95</f>
        <v>0</v>
      </c>
      <c r="E38" s="829"/>
      <c r="F38" s="124">
        <f>IF(C38=0,0,Inputs!Q95)</f>
        <v>0</v>
      </c>
      <c r="G38" s="208"/>
      <c r="H38" s="445">
        <f>IF(B38=0,0,IF(F38=0,0,F38*C38*IF(D38="per animal",HerdSize,1)))</f>
        <v>0</v>
      </c>
      <c r="I38" s="432">
        <f>IF(HerdSize=0,0,IF('Breeding Herd'!H38="","",'Breeding Herd'!H38/HerdSize))</f>
        <v>0</v>
      </c>
      <c r="J38" s="556">
        <f>IF((C4+C5)=0,"",IF(H38="","",H38/((C4+C5))))</f>
        <v>0</v>
      </c>
      <c r="M38" s="412"/>
      <c r="N38" s="412"/>
      <c r="O38" s="412"/>
      <c r="P38" s="412"/>
      <c r="Q38" s="412"/>
      <c r="R38" s="412"/>
      <c r="S38" s="412"/>
      <c r="T38" s="412"/>
      <c r="U38" s="412"/>
    </row>
    <row r="39" spans="1:44" ht="41.25" customHeight="1" thickBot="1">
      <c r="B39" s="170" t="s">
        <v>36</v>
      </c>
      <c r="C39" s="834" t="s">
        <v>117</v>
      </c>
      <c r="D39" s="835"/>
      <c r="E39" s="835"/>
      <c r="F39" s="835"/>
      <c r="G39" s="836"/>
      <c r="H39" s="457">
        <f>(H25+SUM(H28:H30)+H54+H58+SUM(H34:H38))/2*Inputs!E111</f>
        <v>5781.5751007514573</v>
      </c>
      <c r="I39" s="538">
        <f>IF(HerdSize=0,"",IF('Breeding Herd'!H39="","",'Breeding Herd'!H39/HerdSize))</f>
        <v>19.271917002504857</v>
      </c>
      <c r="J39" s="557">
        <f>IF(HerdSize=0,"",IF(H39="","",H39/(Inputs!$G$23-IF(Inputs!$G$13="Yes",0,Inputs!$G$5+Inputs!$G$6))))</f>
        <v>23.69497992111253</v>
      </c>
      <c r="M39" s="412"/>
      <c r="N39" s="412"/>
      <c r="O39" s="412"/>
      <c r="P39" s="412"/>
      <c r="Q39" s="412"/>
      <c r="R39" s="412"/>
      <c r="S39" s="412"/>
      <c r="T39" s="412"/>
      <c r="U39" s="412"/>
    </row>
    <row r="40" spans="1:44" ht="14.25" thickTop="1" thickBot="1">
      <c r="B40" s="51"/>
      <c r="C40" s="194"/>
      <c r="D40" s="195"/>
      <c r="E40" s="195"/>
      <c r="F40" s="195"/>
      <c r="G40" s="59" t="s">
        <v>144</v>
      </c>
      <c r="H40" s="528">
        <f>SUM(H28:H39)</f>
        <v>27402.710123712648</v>
      </c>
      <c r="I40" s="542">
        <f>SUM(I28:I39)</f>
        <v>91.342367079042162</v>
      </c>
      <c r="J40" s="561">
        <f>SUM(J28:J39)</f>
        <v>105.90461879168741</v>
      </c>
      <c r="M40" s="412"/>
      <c r="N40" s="412"/>
      <c r="O40" s="412"/>
      <c r="P40" s="412"/>
      <c r="Q40" s="412"/>
      <c r="R40" s="412"/>
      <c r="S40" s="412"/>
      <c r="T40" s="412"/>
      <c r="U40" s="412"/>
    </row>
    <row r="41" spans="1:44" ht="16.5" thickBot="1">
      <c r="B41" s="135"/>
      <c r="C41" s="237"/>
      <c r="D41" s="237"/>
      <c r="E41" s="237"/>
      <c r="F41" s="237"/>
      <c r="G41" s="137" t="s">
        <v>103</v>
      </c>
      <c r="H41" s="522">
        <f>H15+H25+H40</f>
        <v>245553.29262371262</v>
      </c>
      <c r="I41" s="543">
        <f>I15+I25+I40</f>
        <v>818.5109754123755</v>
      </c>
      <c r="J41" s="562">
        <f>J15+J25+J40</f>
        <v>935.37451422894969</v>
      </c>
      <c r="M41" s="412"/>
      <c r="N41" s="412"/>
      <c r="O41" s="412"/>
      <c r="P41" s="412"/>
      <c r="Q41" s="412"/>
      <c r="R41" s="412"/>
      <c r="S41" s="412"/>
      <c r="T41" s="412"/>
      <c r="U41" s="412"/>
    </row>
    <row r="42" spans="1:44" ht="13.5" thickBot="1">
      <c r="B42" s="62"/>
      <c r="C42" s="24"/>
      <c r="D42" s="49"/>
      <c r="E42" s="24"/>
      <c r="F42" s="25"/>
      <c r="G42" s="25"/>
      <c r="H42" s="525"/>
      <c r="I42" s="544"/>
      <c r="J42" s="563"/>
      <c r="M42" s="412"/>
      <c r="N42" s="412"/>
      <c r="O42" s="412"/>
      <c r="P42" s="412"/>
      <c r="Q42" s="412"/>
      <c r="R42" s="412"/>
      <c r="S42" s="412"/>
      <c r="T42" s="412"/>
      <c r="U42" s="412"/>
    </row>
    <row r="43" spans="1:44" ht="16.5" customHeight="1" thickBot="1">
      <c r="B43" s="66" t="s">
        <v>108</v>
      </c>
      <c r="C43" s="108"/>
      <c r="D43" s="109"/>
      <c r="E43" s="109"/>
      <c r="F43" s="109"/>
      <c r="G43" s="109"/>
      <c r="H43" s="529" t="s">
        <v>73</v>
      </c>
      <c r="I43" s="545" t="s">
        <v>90</v>
      </c>
      <c r="J43" s="564" t="s">
        <v>148</v>
      </c>
      <c r="M43" s="412"/>
      <c r="N43" s="412"/>
      <c r="O43" s="412"/>
      <c r="P43" s="412"/>
      <c r="Q43" s="412"/>
      <c r="R43" s="412"/>
      <c r="S43" s="412"/>
      <c r="T43" s="412"/>
      <c r="U43" s="412"/>
    </row>
    <row r="44" spans="1:44">
      <c r="B44" s="46" t="s">
        <v>38</v>
      </c>
      <c r="C44" s="831" t="s">
        <v>14</v>
      </c>
      <c r="D44" s="832"/>
      <c r="E44" s="88"/>
      <c r="F44" s="177" t="s">
        <v>47</v>
      </c>
      <c r="G44" s="43"/>
      <c r="H44" s="530" t="s">
        <v>30</v>
      </c>
      <c r="I44" s="546" t="s">
        <v>30</v>
      </c>
      <c r="J44" s="565" t="s">
        <v>30</v>
      </c>
      <c r="M44" s="412"/>
      <c r="N44" s="412"/>
      <c r="O44" s="412"/>
      <c r="P44" s="412"/>
      <c r="Q44" s="412"/>
      <c r="R44" s="412"/>
      <c r="S44" s="412"/>
      <c r="T44" s="412"/>
      <c r="U44" s="412"/>
    </row>
    <row r="45" spans="1:44">
      <c r="B45" s="283" t="str">
        <f>Inputs!B99</f>
        <v>Fencing</v>
      </c>
      <c r="C45" s="43"/>
      <c r="D45" s="364">
        <f>Inputs!G99</f>
        <v>1000</v>
      </c>
      <c r="E45" s="56"/>
      <c r="F45" s="124">
        <f>Inputs!Q99</f>
        <v>1</v>
      </c>
      <c r="G45" s="56"/>
      <c r="H45" s="445">
        <f>IF(B45="","",D45*F45)</f>
        <v>1000</v>
      </c>
      <c r="I45" s="547">
        <f>IF(HerdSize=0,"",IF('Breeding Herd'!H45="","",'Breeding Herd'!H45/HerdSize))</f>
        <v>3.3333333333333335</v>
      </c>
      <c r="J45" s="566">
        <f>IF(HerdSize=0,"",IF(H45="","",H45/((C4+C5))))</f>
        <v>3.8022813688212929</v>
      </c>
      <c r="L45" s="223"/>
      <c r="M45" s="412"/>
      <c r="N45" s="412"/>
      <c r="O45" s="412"/>
      <c r="P45" s="412"/>
      <c r="Q45" s="412"/>
      <c r="R45" s="412"/>
      <c r="S45" s="412"/>
      <c r="T45" s="412"/>
      <c r="U45" s="412"/>
    </row>
    <row r="46" spans="1:44">
      <c r="B46" s="283" t="str">
        <f>Inputs!B100</f>
        <v>Machinery (Livestock)</v>
      </c>
      <c r="C46" s="43"/>
      <c r="D46" s="364">
        <f>Inputs!G100</f>
        <v>2000</v>
      </c>
      <c r="E46" s="56"/>
      <c r="F46" s="124">
        <f>IF(D46=0,0,Inputs!Q100)</f>
        <v>1</v>
      </c>
      <c r="G46" s="56"/>
      <c r="H46" s="445">
        <f>IF(B46="","",D46*F46)</f>
        <v>2000</v>
      </c>
      <c r="I46" s="547">
        <f>IF(HerdSize=0,"",IF('Breeding Herd'!H46="","",'Breeding Herd'!H46/HerdSize))</f>
        <v>6.666666666666667</v>
      </c>
      <c r="J46" s="566">
        <f>IF(HerdSize=0,"",IF(H46="","",H46/((C4+C5))))</f>
        <v>7.6045627376425857</v>
      </c>
      <c r="L46" s="223"/>
      <c r="M46" s="412"/>
      <c r="N46" s="412"/>
      <c r="O46" s="412"/>
      <c r="P46" s="412"/>
      <c r="Q46" s="412"/>
      <c r="R46" s="412"/>
      <c r="S46" s="412"/>
      <c r="T46" s="412"/>
      <c r="U46" s="412"/>
    </row>
    <row r="47" spans="1:44">
      <c r="B47" s="283" t="str">
        <f>Inputs!B101</f>
        <v>Vehicles</v>
      </c>
      <c r="C47" s="43"/>
      <c r="D47" s="364">
        <f>Inputs!G101</f>
        <v>1000</v>
      </c>
      <c r="E47" s="56"/>
      <c r="F47" s="124">
        <f>IF(D47=0,0,Inputs!Q101)</f>
        <v>0.4</v>
      </c>
      <c r="G47" s="56"/>
      <c r="H47" s="445">
        <f>IF(B47="","",D47*F47)</f>
        <v>400</v>
      </c>
      <c r="I47" s="547">
        <f>IF(HerdSize=0,"",IF('Breeding Herd'!H47="","",'Breeding Herd'!H47/HerdSize))</f>
        <v>1.3333333333333333</v>
      </c>
      <c r="J47" s="566">
        <f>IF(HerdSize=0,"",IF(H47="","",H47/((C4+C5))))</f>
        <v>1.520912547528517</v>
      </c>
    </row>
    <row r="48" spans="1:44">
      <c r="B48" s="283" t="str">
        <f>Inputs!B102</f>
        <v>Barn</v>
      </c>
      <c r="C48" s="43"/>
      <c r="D48" s="364">
        <f>Inputs!G102</f>
        <v>500</v>
      </c>
      <c r="E48" s="56"/>
      <c r="F48" s="124">
        <f>IF(D48=0,0,Inputs!Q102)</f>
        <v>1</v>
      </c>
      <c r="G48" s="56"/>
      <c r="H48" s="445">
        <f>IF(B48="","",D48*F48)</f>
        <v>500</v>
      </c>
      <c r="I48" s="547">
        <f>IF(HerdSize=0,"",IF('Breeding Herd'!H48="","",'Breeding Herd'!H48/HerdSize))</f>
        <v>1.6666666666666667</v>
      </c>
      <c r="J48" s="566">
        <f>IF(HerdSize=0,"",IF(H48="","",H48/((C4+C5))))</f>
        <v>1.9011406844106464</v>
      </c>
    </row>
    <row r="49" spans="1:44">
      <c r="B49" s="283">
        <f>Inputs!B103</f>
        <v>0</v>
      </c>
      <c r="C49" s="43"/>
      <c r="D49" s="364">
        <f>Inputs!G103</f>
        <v>0</v>
      </c>
      <c r="E49" s="56"/>
      <c r="F49" s="124">
        <f>IF(D49=0,0,Inputs!Q103)</f>
        <v>0</v>
      </c>
      <c r="G49" s="56"/>
      <c r="H49" s="445">
        <f>IF(B49="","",D49*F49)</f>
        <v>0</v>
      </c>
      <c r="I49" s="547">
        <f>IF(HerdSize=0,"",IF('Breeding Herd'!H49="","",'Breeding Herd'!H49/HerdSize))</f>
        <v>0</v>
      </c>
      <c r="J49" s="566">
        <f>IF(HerdSize=0,"",IF(H49="","",H49/((C4+C5))))</f>
        <v>0</v>
      </c>
    </row>
    <row r="50" spans="1:44" s="238" customFormat="1" hidden="1">
      <c r="A50" s="276"/>
      <c r="B50" s="283"/>
      <c r="C50" s="354"/>
      <c r="D50" s="364">
        <f>Inputs!G104</f>
        <v>0</v>
      </c>
      <c r="E50" s="255"/>
      <c r="F50" s="124">
        <f>IF(D50=0,0,Inputs!Q104)</f>
        <v>0</v>
      </c>
      <c r="G50" s="255"/>
      <c r="H50" s="445"/>
      <c r="I50" s="547"/>
      <c r="J50" s="566"/>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row>
    <row r="51" spans="1:44" s="238" customFormat="1" hidden="1">
      <c r="A51" s="276"/>
      <c r="B51" s="283"/>
      <c r="C51" s="354"/>
      <c r="D51" s="364">
        <f>Inputs!G105</f>
        <v>0</v>
      </c>
      <c r="E51" s="255"/>
      <c r="F51" s="124">
        <f>IF(D51=0,0,Inputs!Q105)</f>
        <v>0</v>
      </c>
      <c r="G51" s="255"/>
      <c r="H51" s="445"/>
      <c r="I51" s="547"/>
      <c r="J51" s="566"/>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row>
    <row r="52" spans="1:44" hidden="1">
      <c r="B52" s="283">
        <f>Inputs!B104</f>
        <v>0</v>
      </c>
      <c r="C52" s="43"/>
      <c r="D52" s="364">
        <f>Inputs!G106</f>
        <v>0</v>
      </c>
      <c r="E52" s="56"/>
      <c r="F52" s="124">
        <f>IF(D52=0,0,Inputs!Q106)</f>
        <v>0</v>
      </c>
      <c r="G52" s="56"/>
      <c r="H52" s="445">
        <f>IF(B52="","",D52*F52)</f>
        <v>0</v>
      </c>
      <c r="I52" s="547">
        <f>IF(HerdSize=0,"",IF('Breeding Herd'!H52="","",'Breeding Herd'!H52/HerdSize))</f>
        <v>0</v>
      </c>
      <c r="J52" s="566">
        <f>IF(HerdSize=0,"",IF(H52="","",H52/((C4+C5))))</f>
        <v>0</v>
      </c>
    </row>
    <row r="53" spans="1:44" ht="13.5" hidden="1" thickBot="1">
      <c r="B53" s="283">
        <f>Inputs!B105</f>
        <v>0</v>
      </c>
      <c r="C53" s="43"/>
      <c r="D53" s="364">
        <f>Inputs!G107</f>
        <v>0</v>
      </c>
      <c r="E53" s="56"/>
      <c r="F53" s="124">
        <f>IF(D53=0,0,Inputs!Q107)</f>
        <v>0</v>
      </c>
      <c r="G53" s="56"/>
      <c r="H53" s="450">
        <f>IF(B53="","",D53*F53)</f>
        <v>0</v>
      </c>
      <c r="I53" s="548">
        <f>IF(HerdSize=0,"",IF('Breeding Herd'!H53="","",'Breeding Herd'!H53/HerdSize))</f>
        <v>0</v>
      </c>
      <c r="J53" s="567">
        <f>IF(HerdSize=0,"",IF(H53="","",H53/((C4+C5))))</f>
        <v>0</v>
      </c>
    </row>
    <row r="54" spans="1:44">
      <c r="B54" s="48"/>
      <c r="C54" s="33"/>
      <c r="D54" s="57"/>
      <c r="E54" s="57"/>
      <c r="F54" s="213"/>
      <c r="G54" s="29" t="s">
        <v>98</v>
      </c>
      <c r="H54" s="525">
        <f>SUM(H45:H53)</f>
        <v>3900</v>
      </c>
      <c r="I54" s="539">
        <f>SUM(I45:I53)</f>
        <v>13</v>
      </c>
      <c r="J54" s="441">
        <f>SUM(J45:J53)</f>
        <v>14.828897338403044</v>
      </c>
    </row>
    <row r="55" spans="1:44">
      <c r="B55" s="48"/>
      <c r="C55" s="31"/>
      <c r="D55" s="49"/>
      <c r="E55" s="49"/>
      <c r="F55" s="58"/>
      <c r="G55" s="58"/>
      <c r="H55" s="525"/>
      <c r="I55" s="544"/>
      <c r="J55" s="568"/>
    </row>
    <row r="56" spans="1:44">
      <c r="B56" s="79" t="s">
        <v>53</v>
      </c>
      <c r="C56" s="827" t="s">
        <v>55</v>
      </c>
      <c r="D56" s="828"/>
      <c r="E56" s="49"/>
      <c r="F56" s="83" t="s">
        <v>47</v>
      </c>
      <c r="G56" s="49"/>
      <c r="H56" s="531" t="s">
        <v>30</v>
      </c>
      <c r="I56" s="549" t="s">
        <v>30</v>
      </c>
      <c r="J56" s="559" t="s">
        <v>30</v>
      </c>
    </row>
    <row r="57" spans="1:44">
      <c r="A57" s="165"/>
      <c r="B57" s="48" t="str">
        <f>Inputs!B117</f>
        <v>Real Estate Tax</v>
      </c>
      <c r="C57" s="825">
        <f>VLOOKUP(B57,Overhead,4,FALSE)</f>
        <v>0</v>
      </c>
      <c r="D57" s="826"/>
      <c r="E57" s="49"/>
      <c r="F57" s="125">
        <f>IF(C57=0,0,Inputs!Q117)</f>
        <v>0</v>
      </c>
      <c r="G57" s="49"/>
      <c r="H57" s="445">
        <f>C57*F57</f>
        <v>0</v>
      </c>
      <c r="I57" s="547">
        <f>IF(HerdSize=0,"",IF(H57="","",H57/(HerdSize)))</f>
        <v>0</v>
      </c>
      <c r="J57" s="566">
        <f>IF((C4+C5)=0,0,IF(B57="","",IF(H57=0,0,H57/(C4+C5))))</f>
        <v>0</v>
      </c>
    </row>
    <row r="58" spans="1:44">
      <c r="B58" s="48" t="str">
        <f>Inputs!B118</f>
        <v>Annual Insurance Premium</v>
      </c>
      <c r="C58" s="825">
        <f>VLOOKUP(B58,Overhead,4,FALSE)</f>
        <v>1500</v>
      </c>
      <c r="D58" s="826"/>
      <c r="E58" s="49"/>
      <c r="F58" s="278">
        <f>IF(C58=0,0,Inputs!Q118)</f>
        <v>0.93885666805825407</v>
      </c>
      <c r="G58" s="49"/>
      <c r="H58" s="445">
        <f>C58*F58</f>
        <v>1408.2850020873811</v>
      </c>
      <c r="I58" s="547">
        <f>IF(HerdSize=0,"",IF(H58="","",H58/(HerdSize)))</f>
        <v>4.6942833402912703</v>
      </c>
      <c r="J58" s="566">
        <f>IF((C4+C5)=0,0,IF(B58="","",IF(H58=0,0,H58/(C4+C5))))</f>
        <v>5.3546958254273047</v>
      </c>
    </row>
    <row r="59" spans="1:44">
      <c r="B59" s="48" t="str">
        <f>Inputs!B119</f>
        <v>Professional Fees</v>
      </c>
      <c r="C59" s="825">
        <f>VLOOKUP(B59,Overhead,4,FALSE)</f>
        <v>750</v>
      </c>
      <c r="D59" s="826"/>
      <c r="E59" s="49"/>
      <c r="F59" s="278">
        <f>IF(C59=0,0,Inputs!Q119)</f>
        <v>0.93885666805825407</v>
      </c>
      <c r="G59" s="49"/>
      <c r="H59" s="445">
        <f>C59*F59</f>
        <v>704.14250104369057</v>
      </c>
      <c r="I59" s="547">
        <f>IF(HerdSize=0,"",IF(H59="","",H59/(HerdSize)))</f>
        <v>2.3471416701456351</v>
      </c>
      <c r="J59" s="566">
        <f>IF((C4+C5)=0,0,IF(B59="","",IF(H59=0,0,H59/(C4+C5))))</f>
        <v>2.6773479127136524</v>
      </c>
    </row>
    <row r="60" spans="1:44">
      <c r="B60" s="48" t="str">
        <f>Inputs!B120</f>
        <v>Annual Management Charge</v>
      </c>
      <c r="C60" s="825">
        <f>VLOOKUP(B60,Overhead,4,FALSE)</f>
        <v>0</v>
      </c>
      <c r="D60" s="826"/>
      <c r="E60" s="49"/>
      <c r="F60" s="278">
        <f>IF(C60=0,0,Inputs!Q120)</f>
        <v>0</v>
      </c>
      <c r="G60" s="49"/>
      <c r="H60" s="445">
        <f>C60*F60</f>
        <v>0</v>
      </c>
      <c r="I60" s="547">
        <f>IF(HerdSize=0,"",IF(H60="","",H60/(HerdSize)))</f>
        <v>0</v>
      </c>
      <c r="J60" s="566">
        <f>IF((C4+C5)=0,0,IF(B60="","",IF(H60=0,0,H60/(C4+C5))))</f>
        <v>0</v>
      </c>
    </row>
    <row r="61" spans="1:44" ht="13.5" thickBot="1">
      <c r="B61" s="48" t="str">
        <f>Inputs!B121</f>
        <v>Other</v>
      </c>
      <c r="C61" s="825">
        <f>VLOOKUP(B61,Overhead,4,FALSE)</f>
        <v>0</v>
      </c>
      <c r="D61" s="826"/>
      <c r="E61" s="49"/>
      <c r="F61" s="278">
        <f>IF(C61=0,0,Inputs!Q121)</f>
        <v>0</v>
      </c>
      <c r="G61" s="49"/>
      <c r="H61" s="450">
        <f>C61*F61</f>
        <v>0</v>
      </c>
      <c r="I61" s="548">
        <f>IF(HerdSize=0,"",IF(H61="","",H61/(HerdSize)))</f>
        <v>0</v>
      </c>
      <c r="J61" s="567">
        <f>IF((C4+C5)=0,0,IF(B61="","",IF(H61=0,0,H61/(C4+C5))))</f>
        <v>0</v>
      </c>
    </row>
    <row r="62" spans="1:44" ht="14.25" thickTop="1" thickBot="1">
      <c r="B62" s="65"/>
      <c r="C62" s="34"/>
      <c r="D62" s="52"/>
      <c r="E62" s="52"/>
      <c r="F62" s="43"/>
      <c r="G62" s="59" t="s">
        <v>50</v>
      </c>
      <c r="H62" s="525">
        <f>SUM(H57:H61)</f>
        <v>2112.4275031310717</v>
      </c>
      <c r="I62" s="544">
        <f>SUM(I57:I61)</f>
        <v>7.0414250104369049</v>
      </c>
      <c r="J62" s="441">
        <f>SUM(J57:J61)</f>
        <v>8.0320437381409562</v>
      </c>
    </row>
    <row r="63" spans="1:44" ht="16.5" thickBot="1">
      <c r="B63" s="66"/>
      <c r="C63" s="67"/>
      <c r="D63" s="67"/>
      <c r="E63" s="67"/>
      <c r="F63" s="67"/>
      <c r="G63" s="21" t="s">
        <v>102</v>
      </c>
      <c r="H63" s="522">
        <f>H54+H62</f>
        <v>6012.4275031310717</v>
      </c>
      <c r="I63" s="543">
        <f>I54+I62</f>
        <v>20.041425010436903</v>
      </c>
      <c r="J63" s="562">
        <f>J54+J62</f>
        <v>22.860941076544002</v>
      </c>
    </row>
    <row r="64" spans="1:44" s="40" customFormat="1" ht="13.5" thickBot="1">
      <c r="A64" s="152"/>
      <c r="B64" s="49"/>
      <c r="C64" s="26"/>
      <c r="D64" s="26"/>
      <c r="E64" s="26"/>
      <c r="F64" s="26"/>
      <c r="G64" s="146"/>
      <c r="H64" s="532"/>
      <c r="I64" s="550"/>
      <c r="J64" s="569"/>
      <c r="K64" s="222"/>
      <c r="L64" s="222"/>
      <c r="M64" s="222"/>
      <c r="N64" s="222"/>
      <c r="O64" s="222"/>
      <c r="P64" s="222"/>
      <c r="Q64" s="222"/>
      <c r="R64" s="222"/>
      <c r="S64" s="222"/>
      <c r="T64" s="222"/>
      <c r="U64" s="222"/>
      <c r="V64" s="222"/>
      <c r="W64" s="222"/>
      <c r="X64" s="222"/>
      <c r="Y64" s="157"/>
      <c r="Z64" s="157"/>
      <c r="AA64" s="157"/>
      <c r="AB64" s="157"/>
      <c r="AC64" s="157"/>
      <c r="AD64" s="157"/>
      <c r="AE64" s="157"/>
      <c r="AF64" s="157"/>
      <c r="AG64" s="157"/>
      <c r="AH64" s="157"/>
      <c r="AI64" s="157"/>
      <c r="AJ64" s="157"/>
      <c r="AK64" s="157"/>
      <c r="AL64" s="157"/>
      <c r="AM64" s="157"/>
      <c r="AN64" s="157"/>
      <c r="AO64" s="157"/>
      <c r="AP64" s="157"/>
      <c r="AQ64" s="157"/>
      <c r="AR64" s="157"/>
    </row>
    <row r="65" spans="1:44" s="40" customFormat="1" ht="16.5" thickBot="1">
      <c r="A65" s="152"/>
      <c r="B65" s="236" t="s">
        <v>110</v>
      </c>
      <c r="C65" s="67"/>
      <c r="D65" s="67"/>
      <c r="E65" s="67"/>
      <c r="F65" s="67"/>
      <c r="G65" s="21"/>
      <c r="H65" s="522">
        <f>H41+H63</f>
        <v>251565.72012684369</v>
      </c>
      <c r="I65" s="543">
        <f>I41+I63</f>
        <v>838.55240042281241</v>
      </c>
      <c r="J65" s="562">
        <f>J41+J63</f>
        <v>958.2354553054937</v>
      </c>
      <c r="K65" s="222"/>
      <c r="L65" s="222"/>
      <c r="M65" s="222"/>
      <c r="N65" s="222"/>
      <c r="O65" s="222"/>
      <c r="P65" s="222"/>
      <c r="Q65" s="222"/>
      <c r="R65" s="222"/>
      <c r="S65" s="222"/>
      <c r="T65" s="222"/>
      <c r="U65" s="222"/>
      <c r="V65" s="222"/>
      <c r="W65" s="222"/>
      <c r="X65" s="222"/>
      <c r="Y65" s="157"/>
      <c r="Z65" s="157"/>
      <c r="AA65" s="157"/>
      <c r="AB65" s="157"/>
      <c r="AC65" s="157"/>
      <c r="AD65" s="157"/>
      <c r="AE65" s="157"/>
      <c r="AF65" s="157"/>
      <c r="AG65" s="157"/>
      <c r="AH65" s="157"/>
      <c r="AI65" s="157"/>
      <c r="AJ65" s="157"/>
      <c r="AK65" s="157"/>
      <c r="AL65" s="157"/>
      <c r="AM65" s="157"/>
      <c r="AN65" s="157"/>
      <c r="AO65" s="157"/>
      <c r="AP65" s="157"/>
      <c r="AQ65" s="157"/>
      <c r="AR65" s="157"/>
    </row>
    <row r="66" spans="1:44" s="40" customFormat="1" ht="13.5" thickBot="1">
      <c r="A66" s="152"/>
      <c r="B66" s="49"/>
      <c r="C66" s="26"/>
      <c r="D66" s="26"/>
      <c r="E66" s="26"/>
      <c r="F66" s="26"/>
      <c r="G66" s="146"/>
      <c r="H66" s="532"/>
      <c r="I66" s="550"/>
      <c r="J66" s="569"/>
      <c r="K66" s="222"/>
      <c r="L66" s="222"/>
      <c r="M66" s="222"/>
      <c r="N66" s="222"/>
      <c r="O66" s="222"/>
      <c r="P66" s="222"/>
      <c r="Q66" s="222"/>
      <c r="R66" s="222"/>
      <c r="S66" s="222"/>
      <c r="T66" s="222"/>
      <c r="U66" s="222"/>
      <c r="V66" s="222"/>
      <c r="W66" s="222"/>
      <c r="X66" s="222"/>
      <c r="Y66" s="157"/>
      <c r="Z66" s="157"/>
      <c r="AA66" s="157"/>
      <c r="AB66" s="157"/>
      <c r="AC66" s="157"/>
      <c r="AD66" s="157"/>
      <c r="AE66" s="157"/>
      <c r="AF66" s="157"/>
      <c r="AG66" s="157"/>
      <c r="AH66" s="157"/>
      <c r="AI66" s="157"/>
      <c r="AJ66" s="157"/>
      <c r="AK66" s="157"/>
      <c r="AL66" s="157"/>
      <c r="AM66" s="157"/>
      <c r="AN66" s="157"/>
      <c r="AO66" s="157"/>
      <c r="AP66" s="157"/>
      <c r="AQ66" s="157"/>
      <c r="AR66" s="157"/>
    </row>
    <row r="67" spans="1:44" ht="16.5" thickBot="1">
      <c r="B67" s="236" t="s">
        <v>104</v>
      </c>
      <c r="C67" s="67"/>
      <c r="D67" s="67"/>
      <c r="E67" s="67"/>
      <c r="F67" s="67"/>
      <c r="G67" s="21"/>
      <c r="H67" s="522">
        <f>H9-H65</f>
        <v>20782.279873156309</v>
      </c>
      <c r="I67" s="471">
        <f>I9-I65</f>
        <v>69.274266243854299</v>
      </c>
      <c r="J67" s="562">
        <f>J9-J65</f>
        <v>77.308270930247659</v>
      </c>
    </row>
    <row r="68" spans="1:44" s="130" customFormat="1" ht="13.5" thickBot="1">
      <c r="A68" s="156"/>
      <c r="B68" s="377" t="s">
        <v>9</v>
      </c>
      <c r="C68" s="377"/>
      <c r="D68" s="377"/>
      <c r="E68" s="377"/>
      <c r="F68" s="377"/>
      <c r="G68" s="377"/>
      <c r="H68" s="533"/>
      <c r="I68" s="551"/>
      <c r="J68" s="570"/>
      <c r="K68" s="222"/>
      <c r="L68" s="222"/>
      <c r="M68" s="222"/>
      <c r="N68" s="222"/>
      <c r="O68" s="222"/>
      <c r="P68" s="222"/>
      <c r="Q68" s="222"/>
      <c r="R68" s="222"/>
      <c r="S68" s="222"/>
      <c r="T68" s="222"/>
      <c r="U68" s="222"/>
      <c r="V68" s="222"/>
      <c r="W68" s="222"/>
      <c r="X68" s="222"/>
      <c r="Y68" s="157"/>
      <c r="Z68" s="157"/>
      <c r="AA68" s="157"/>
      <c r="AB68" s="157"/>
      <c r="AC68" s="157"/>
      <c r="AD68" s="157"/>
      <c r="AE68" s="157"/>
      <c r="AF68" s="157"/>
      <c r="AG68" s="157"/>
      <c r="AH68" s="157"/>
      <c r="AI68" s="157"/>
      <c r="AJ68" s="157"/>
      <c r="AK68" s="157"/>
      <c r="AL68" s="157"/>
      <c r="AM68" s="157"/>
      <c r="AN68" s="157"/>
      <c r="AO68" s="157"/>
      <c r="AP68" s="157"/>
      <c r="AQ68" s="157"/>
      <c r="AR68" s="157"/>
    </row>
    <row r="69" spans="1:44" s="130" customFormat="1" ht="18" customHeight="1" thickBot="1">
      <c r="A69" s="152"/>
      <c r="B69" s="66" t="s">
        <v>97</v>
      </c>
      <c r="C69" s="108"/>
      <c r="D69" s="109"/>
      <c r="E69" s="109"/>
      <c r="F69" s="109"/>
      <c r="G69" s="109"/>
      <c r="H69" s="529" t="s">
        <v>73</v>
      </c>
      <c r="I69" s="545" t="s">
        <v>90</v>
      </c>
      <c r="J69" s="564" t="s">
        <v>148</v>
      </c>
      <c r="K69" s="222"/>
      <c r="L69" s="222"/>
      <c r="M69" s="222"/>
      <c r="N69" s="222"/>
      <c r="O69" s="222"/>
      <c r="P69" s="222"/>
      <c r="Q69" s="222"/>
      <c r="R69" s="222"/>
      <c r="S69" s="222"/>
      <c r="T69" s="222"/>
      <c r="U69" s="222"/>
      <c r="V69" s="222"/>
      <c r="W69" s="222"/>
      <c r="X69" s="222"/>
      <c r="Y69" s="157"/>
      <c r="Z69" s="157"/>
      <c r="AA69" s="157"/>
      <c r="AB69" s="157"/>
      <c r="AC69" s="157"/>
      <c r="AD69" s="157"/>
      <c r="AE69" s="157"/>
      <c r="AF69" s="157"/>
      <c r="AG69" s="157"/>
      <c r="AH69" s="157"/>
      <c r="AI69" s="157"/>
      <c r="AJ69" s="157"/>
      <c r="AK69" s="157"/>
      <c r="AL69" s="157"/>
      <c r="AM69" s="157"/>
      <c r="AN69" s="157"/>
      <c r="AO69" s="157"/>
      <c r="AP69" s="157"/>
      <c r="AQ69" s="157"/>
      <c r="AR69" s="157"/>
    </row>
    <row r="70" spans="1:44" s="130" customFormat="1" ht="25.5">
      <c r="A70" s="152"/>
      <c r="B70" s="247" t="s">
        <v>38</v>
      </c>
      <c r="C70" s="267"/>
      <c r="D70" s="260" t="s">
        <v>45</v>
      </c>
      <c r="E70" s="275" t="s">
        <v>151</v>
      </c>
      <c r="F70" s="366" t="s">
        <v>47</v>
      </c>
      <c r="G70" s="248"/>
      <c r="H70" s="530" t="s">
        <v>30</v>
      </c>
      <c r="I70" s="546" t="s">
        <v>30</v>
      </c>
      <c r="J70" s="565" t="s">
        <v>30</v>
      </c>
      <c r="K70" s="222"/>
      <c r="L70" s="222"/>
      <c r="M70" s="222"/>
      <c r="N70" s="222"/>
      <c r="O70" s="222"/>
      <c r="P70" s="222"/>
      <c r="Q70" s="222"/>
      <c r="R70" s="222"/>
      <c r="S70" s="222"/>
      <c r="T70" s="222"/>
      <c r="U70" s="222"/>
      <c r="V70" s="222"/>
      <c r="W70" s="222"/>
      <c r="X70" s="222"/>
      <c r="Y70" s="157"/>
      <c r="Z70" s="157"/>
      <c r="AA70" s="157"/>
      <c r="AB70" s="157"/>
      <c r="AC70" s="157"/>
      <c r="AD70" s="157"/>
      <c r="AE70" s="157"/>
      <c r="AF70" s="157"/>
      <c r="AG70" s="157"/>
      <c r="AH70" s="157"/>
      <c r="AI70" s="157"/>
      <c r="AJ70" s="157"/>
      <c r="AK70" s="157"/>
      <c r="AL70" s="157"/>
      <c r="AM70" s="157"/>
      <c r="AN70" s="157"/>
      <c r="AO70" s="157"/>
      <c r="AP70" s="157"/>
      <c r="AQ70" s="157"/>
      <c r="AR70" s="157"/>
    </row>
    <row r="71" spans="1:44" s="130" customFormat="1">
      <c r="A71" s="152"/>
      <c r="B71" s="249" t="str">
        <f>Inputs!B99</f>
        <v>Fencing</v>
      </c>
      <c r="C71" s="242"/>
      <c r="D71" s="365">
        <f>IF(Inputs!F99=0,0,(Inputs!D99-Inputs!E99)/Inputs!F99)</f>
        <v>750</v>
      </c>
      <c r="E71" s="365">
        <f>Inputs!D99*Inputs!$E$112</f>
        <v>750</v>
      </c>
      <c r="F71" s="263">
        <f>Inputs!Q99</f>
        <v>1</v>
      </c>
      <c r="G71" s="255"/>
      <c r="H71" s="445">
        <f t="shared" ref="H71:H80" si="9">IF(B71="","",(D71+E71)*F71)</f>
        <v>1500</v>
      </c>
      <c r="I71" s="547">
        <f>IF(HerdSize=0,"",IF('Breeding Herd'!H71="","",'Breeding Herd'!H71/HerdSize))</f>
        <v>5</v>
      </c>
      <c r="J71" s="566">
        <f>IF(HerdSize=0,"",IF(H71="","",H71/($C$4+$C$5)))</f>
        <v>5.7034220532319395</v>
      </c>
      <c r="K71" s="222"/>
      <c r="L71" s="222"/>
      <c r="M71" s="222"/>
      <c r="N71" s="222"/>
      <c r="O71" s="222"/>
      <c r="P71" s="222"/>
      <c r="Q71" s="222"/>
      <c r="R71" s="222"/>
      <c r="S71" s="222"/>
      <c r="T71" s="222"/>
      <c r="U71" s="222"/>
      <c r="V71" s="222"/>
      <c r="W71" s="222"/>
      <c r="X71" s="222"/>
      <c r="Y71" s="157"/>
      <c r="Z71" s="157"/>
      <c r="AA71" s="157"/>
      <c r="AB71" s="157"/>
      <c r="AC71" s="157"/>
      <c r="AD71" s="157"/>
      <c r="AE71" s="157"/>
      <c r="AF71" s="157"/>
      <c r="AG71" s="157"/>
      <c r="AH71" s="157"/>
      <c r="AI71" s="157"/>
      <c r="AJ71" s="157"/>
      <c r="AK71" s="157"/>
      <c r="AL71" s="157"/>
      <c r="AM71" s="157"/>
      <c r="AN71" s="157"/>
      <c r="AO71" s="157"/>
      <c r="AP71" s="157"/>
      <c r="AQ71" s="157"/>
      <c r="AR71" s="157"/>
    </row>
    <row r="72" spans="1:44" s="130" customFormat="1">
      <c r="A72" s="152"/>
      <c r="B72" s="249" t="str">
        <f>Inputs!B100</f>
        <v>Machinery (Livestock)</v>
      </c>
      <c r="C72" s="242"/>
      <c r="D72" s="365">
        <f>IF(Inputs!F100=0,0,(Inputs!D100-Inputs!E100)/Inputs!F100)</f>
        <v>7500</v>
      </c>
      <c r="E72" s="365">
        <f>Inputs!D100*Inputs!$E$112</f>
        <v>3000</v>
      </c>
      <c r="F72" s="263">
        <f>IF(B72=0,0,Inputs!Q100)</f>
        <v>1</v>
      </c>
      <c r="G72" s="255"/>
      <c r="H72" s="445">
        <f t="shared" si="9"/>
        <v>10500</v>
      </c>
      <c r="I72" s="547">
        <f>IF(HerdSize=0,"",IF('Breeding Herd'!H72="","",'Breeding Herd'!H72/HerdSize))</f>
        <v>35</v>
      </c>
      <c r="J72" s="566">
        <f>IF(HerdSize=0,"",IF(H72="","",H72/($C$4+$C$5)))</f>
        <v>39.923954372623577</v>
      </c>
      <c r="K72" s="222"/>
      <c r="L72" s="222"/>
      <c r="M72" s="222"/>
      <c r="N72" s="222"/>
      <c r="O72" s="222"/>
      <c r="P72" s="222"/>
      <c r="Q72" s="222"/>
      <c r="R72" s="222"/>
      <c r="S72" s="222"/>
      <c r="T72" s="222"/>
      <c r="U72" s="222"/>
      <c r="V72" s="222"/>
      <c r="W72" s="222"/>
      <c r="X72" s="222"/>
      <c r="Y72" s="157"/>
      <c r="Z72" s="157"/>
      <c r="AA72" s="157"/>
      <c r="AB72" s="157"/>
      <c r="AC72" s="157"/>
      <c r="AD72" s="157"/>
      <c r="AE72" s="157"/>
      <c r="AF72" s="157"/>
      <c r="AG72" s="157"/>
      <c r="AH72" s="157"/>
      <c r="AI72" s="157"/>
      <c r="AJ72" s="157"/>
      <c r="AK72" s="157"/>
      <c r="AL72" s="157"/>
      <c r="AM72" s="157"/>
      <c r="AN72" s="157"/>
      <c r="AO72" s="157"/>
      <c r="AP72" s="157"/>
      <c r="AQ72" s="157"/>
      <c r="AR72" s="157"/>
    </row>
    <row r="73" spans="1:44" s="130" customFormat="1">
      <c r="A73" s="152"/>
      <c r="B73" s="283" t="str">
        <f>Inputs!B101</f>
        <v>Vehicles</v>
      </c>
      <c r="C73" s="250" t="s">
        <v>9</v>
      </c>
      <c r="D73" s="365">
        <f>IF(Inputs!F101=0,0,(Inputs!D101-Inputs!E101)/Inputs!F101)</f>
        <v>2857.1428571428573</v>
      </c>
      <c r="E73" s="365">
        <f>Inputs!D101*Inputs!$E$112</f>
        <v>900</v>
      </c>
      <c r="F73" s="263">
        <f>IF(B73=0,0,Inputs!Q101)</f>
        <v>0.4</v>
      </c>
      <c r="G73" s="255"/>
      <c r="H73" s="445">
        <f t="shared" si="9"/>
        <v>1502.8571428571431</v>
      </c>
      <c r="I73" s="547">
        <f>IF(HerdSize=0,"",IF('Breeding Herd'!H73="","",'Breeding Herd'!H73/HerdSize))</f>
        <v>5.0095238095238104</v>
      </c>
      <c r="J73" s="566">
        <f>IF(HerdSize=0,"",IF(H73="","",H73/($C$4+$C$5)))</f>
        <v>5.7142857142857153</v>
      </c>
      <c r="K73" s="222"/>
      <c r="L73" s="222"/>
      <c r="M73" s="222"/>
      <c r="N73" s="222"/>
      <c r="O73" s="222"/>
      <c r="P73" s="222"/>
      <c r="Q73" s="222"/>
      <c r="R73" s="222"/>
      <c r="S73" s="222"/>
      <c r="T73" s="222"/>
      <c r="U73" s="222"/>
      <c r="V73" s="222"/>
      <c r="W73" s="222"/>
      <c r="X73" s="222"/>
      <c r="Y73" s="157"/>
      <c r="Z73" s="157"/>
      <c r="AA73" s="157"/>
      <c r="AB73" s="157"/>
      <c r="AC73" s="157"/>
      <c r="AD73" s="157"/>
      <c r="AE73" s="157"/>
      <c r="AF73" s="157"/>
      <c r="AG73" s="157"/>
      <c r="AH73" s="157"/>
      <c r="AI73" s="157"/>
      <c r="AJ73" s="157"/>
      <c r="AK73" s="157"/>
      <c r="AL73" s="157"/>
      <c r="AM73" s="157"/>
      <c r="AN73" s="157"/>
      <c r="AO73" s="157"/>
      <c r="AP73" s="157"/>
      <c r="AQ73" s="157"/>
      <c r="AR73" s="157"/>
    </row>
    <row r="74" spans="1:44" s="130" customFormat="1">
      <c r="A74" s="152"/>
      <c r="B74" s="283" t="str">
        <f>Inputs!B102</f>
        <v>Barn</v>
      </c>
      <c r="C74" s="250" t="s">
        <v>9</v>
      </c>
      <c r="D74" s="365">
        <f>IF(Inputs!F102=0,0,(Inputs!D102-Inputs!E102)/Inputs!F102)</f>
        <v>1000</v>
      </c>
      <c r="E74" s="365">
        <f>Inputs!D102*Inputs!$E$112</f>
        <v>900</v>
      </c>
      <c r="F74" s="263">
        <f>IF(B74=0,0,Inputs!Q102)</f>
        <v>1</v>
      </c>
      <c r="G74" s="255"/>
      <c r="H74" s="445">
        <f t="shared" si="9"/>
        <v>1900</v>
      </c>
      <c r="I74" s="547">
        <f>IF(HerdSize=0,"",IF('Breeding Herd'!H74="","",'Breeding Herd'!H74/HerdSize))</f>
        <v>6.333333333333333</v>
      </c>
      <c r="J74" s="566">
        <f>IF(HerdSize=0,"",IF(H74="","",H74/($C$4+$C$5)))</f>
        <v>7.2243346007604563</v>
      </c>
      <c r="K74" s="222"/>
      <c r="L74" s="222"/>
      <c r="M74" s="222"/>
      <c r="N74" s="222"/>
      <c r="O74" s="222"/>
      <c r="P74" s="222"/>
      <c r="Q74" s="222"/>
      <c r="R74" s="222"/>
      <c r="S74" s="222"/>
      <c r="T74" s="222"/>
      <c r="U74" s="222"/>
      <c r="V74" s="222"/>
      <c r="W74" s="222"/>
      <c r="X74" s="222"/>
      <c r="Y74" s="157"/>
      <c r="Z74" s="157"/>
      <c r="AA74" s="157"/>
      <c r="AB74" s="157"/>
      <c r="AC74" s="157"/>
      <c r="AD74" s="157"/>
      <c r="AE74" s="157"/>
      <c r="AF74" s="157"/>
      <c r="AG74" s="157"/>
      <c r="AH74" s="157"/>
      <c r="AI74" s="157"/>
      <c r="AJ74" s="157"/>
      <c r="AK74" s="157"/>
      <c r="AL74" s="157"/>
      <c r="AM74" s="157"/>
      <c r="AN74" s="157"/>
      <c r="AO74" s="157"/>
      <c r="AP74" s="157"/>
      <c r="AQ74" s="157"/>
      <c r="AR74" s="157"/>
    </row>
    <row r="75" spans="1:44" s="130" customFormat="1">
      <c r="A75" s="152"/>
      <c r="B75" s="283">
        <f>Inputs!B103</f>
        <v>0</v>
      </c>
      <c r="C75" s="250" t="s">
        <v>9</v>
      </c>
      <c r="D75" s="365">
        <f>IF(Inputs!F103=0,0,(Inputs!D103-Inputs!E103)/Inputs!F103)</f>
        <v>0</v>
      </c>
      <c r="E75" s="365">
        <f>Inputs!D103*Inputs!$E$112</f>
        <v>0</v>
      </c>
      <c r="F75" s="263">
        <f>IF(B75=0,0,Inputs!Q103)</f>
        <v>0</v>
      </c>
      <c r="G75" s="255"/>
      <c r="H75" s="445">
        <f t="shared" si="9"/>
        <v>0</v>
      </c>
      <c r="I75" s="547">
        <f>IF(HerdSize=0,"",IF('Breeding Herd'!H75="","",'Breeding Herd'!H75/HerdSize))</f>
        <v>0</v>
      </c>
      <c r="J75" s="566">
        <f>IF(HerdSize=0,"",IF(H75="","",H75/($C$4+$C$5)))</f>
        <v>0</v>
      </c>
      <c r="K75" s="222"/>
      <c r="L75" s="222"/>
      <c r="M75" s="222"/>
      <c r="N75" s="222"/>
      <c r="O75" s="222"/>
      <c r="P75" s="222"/>
      <c r="Q75" s="222"/>
      <c r="R75" s="222"/>
      <c r="S75" s="222"/>
      <c r="T75" s="222"/>
      <c r="U75" s="222"/>
      <c r="V75" s="222"/>
      <c r="W75" s="222"/>
      <c r="X75" s="222"/>
      <c r="Y75" s="157"/>
      <c r="Z75" s="157"/>
      <c r="AA75" s="157"/>
      <c r="AB75" s="157"/>
      <c r="AC75" s="157"/>
      <c r="AD75" s="157"/>
      <c r="AE75" s="157"/>
      <c r="AF75" s="157"/>
      <c r="AG75" s="157"/>
      <c r="AH75" s="157"/>
      <c r="AI75" s="157"/>
      <c r="AJ75" s="157"/>
      <c r="AK75" s="157"/>
      <c r="AL75" s="157"/>
      <c r="AM75" s="157"/>
      <c r="AN75" s="157"/>
      <c r="AO75" s="157"/>
      <c r="AP75" s="157"/>
      <c r="AQ75" s="157"/>
      <c r="AR75" s="157"/>
    </row>
    <row r="76" spans="1:44" s="130" customFormat="1" hidden="1">
      <c r="A76" s="156"/>
      <c r="B76" s="283">
        <f>Inputs!B104</f>
        <v>0</v>
      </c>
      <c r="C76" s="250" t="s">
        <v>9</v>
      </c>
      <c r="D76" s="365">
        <f>IF(Inputs!F104=0,0,(Inputs!D104-Inputs!E104)/Inputs!F104)</f>
        <v>0</v>
      </c>
      <c r="E76" s="365">
        <f>Inputs!D104*Inputs!$E$112</f>
        <v>0</v>
      </c>
      <c r="F76" s="263">
        <f>IF(B76=0,0,Inputs!Q104)</f>
        <v>0</v>
      </c>
      <c r="G76" s="255"/>
      <c r="H76" s="445">
        <f t="shared" si="9"/>
        <v>0</v>
      </c>
      <c r="I76" s="547">
        <f>IF(HerdSize=0,"",IF('Breeding Herd'!H76="","",'Breeding Herd'!H76/HerdSize))</f>
        <v>0</v>
      </c>
      <c r="J76" s="566">
        <f>IF(HerdSize=0,"",IF(H76="","",H76/(HerdSize-Inputs!$G$5-Inputs!$G$6)))</f>
        <v>0</v>
      </c>
      <c r="K76" s="222"/>
      <c r="L76" s="222"/>
      <c r="M76" s="222"/>
      <c r="N76" s="222"/>
      <c r="O76" s="222"/>
      <c r="P76" s="222"/>
      <c r="Q76" s="222"/>
      <c r="R76" s="222"/>
      <c r="S76" s="222"/>
      <c r="T76" s="222"/>
      <c r="U76" s="222"/>
      <c r="V76" s="222"/>
      <c r="W76" s="222"/>
      <c r="X76" s="222"/>
      <c r="Y76" s="157"/>
      <c r="Z76" s="157"/>
      <c r="AA76" s="157"/>
      <c r="AB76" s="157"/>
      <c r="AC76" s="157"/>
      <c r="AD76" s="157"/>
      <c r="AE76" s="157"/>
      <c r="AF76" s="157"/>
      <c r="AG76" s="157"/>
      <c r="AH76" s="157"/>
      <c r="AI76" s="157"/>
      <c r="AJ76" s="157"/>
      <c r="AK76" s="157"/>
      <c r="AL76" s="157"/>
      <c r="AM76" s="157"/>
      <c r="AN76" s="157"/>
      <c r="AO76" s="157"/>
      <c r="AP76" s="157"/>
      <c r="AQ76" s="157"/>
      <c r="AR76" s="157"/>
    </row>
    <row r="77" spans="1:44" s="216" customFormat="1" hidden="1">
      <c r="A77" s="156"/>
      <c r="B77" s="283">
        <f>Inputs!B105</f>
        <v>0</v>
      </c>
      <c r="C77" s="250" t="s">
        <v>9</v>
      </c>
      <c r="D77" s="365">
        <f>IF(Inputs!F105=0,0,(Inputs!D105-Inputs!E105)/Inputs!F105)</f>
        <v>0</v>
      </c>
      <c r="E77" s="365">
        <f>Inputs!D105*Inputs!$E$112</f>
        <v>0</v>
      </c>
      <c r="F77" s="263">
        <f>IF(B77=0,0,Inputs!Q105)</f>
        <v>0</v>
      </c>
      <c r="G77" s="255"/>
      <c r="H77" s="445">
        <f t="shared" si="9"/>
        <v>0</v>
      </c>
      <c r="I77" s="547">
        <f>IF(HerdSize=0,"",IF('Breeding Herd'!H77="","",'Breeding Herd'!H77/HerdSize))</f>
        <v>0</v>
      </c>
      <c r="J77" s="566">
        <f>IF(HerdSize=0,"",IF(H77="","",H77/(HerdSize-Inputs!$G$5-Inputs!$G$6)))</f>
        <v>0</v>
      </c>
      <c r="K77" s="222"/>
      <c r="L77" s="222"/>
      <c r="M77" s="222"/>
      <c r="N77" s="222"/>
      <c r="O77" s="222"/>
      <c r="P77" s="222"/>
      <c r="Q77" s="222"/>
      <c r="R77" s="222"/>
      <c r="S77" s="222"/>
      <c r="T77" s="222"/>
      <c r="U77" s="222"/>
      <c r="V77" s="222"/>
      <c r="W77" s="222"/>
      <c r="X77" s="222"/>
      <c r="Y77" s="222"/>
      <c r="Z77" s="222"/>
      <c r="AA77" s="222"/>
      <c r="AB77" s="222"/>
      <c r="AC77" s="222"/>
      <c r="AD77" s="222"/>
      <c r="AE77" s="222"/>
      <c r="AF77" s="222"/>
      <c r="AG77" s="222"/>
      <c r="AH77" s="222"/>
      <c r="AI77" s="222"/>
      <c r="AJ77" s="222"/>
      <c r="AK77" s="222"/>
      <c r="AL77" s="222"/>
      <c r="AM77" s="222"/>
      <c r="AN77" s="222"/>
      <c r="AO77" s="222"/>
      <c r="AP77" s="222"/>
      <c r="AQ77" s="222"/>
      <c r="AR77" s="222"/>
    </row>
    <row r="78" spans="1:44" s="216" customFormat="1" hidden="1">
      <c r="A78" s="156"/>
      <c r="B78" s="283">
        <f>Inputs!B106</f>
        <v>0</v>
      </c>
      <c r="C78" s="250" t="s">
        <v>9</v>
      </c>
      <c r="D78" s="365">
        <f>IF(Inputs!F106=0,0,(Inputs!D106-Inputs!E106)/Inputs!F106)</f>
        <v>0</v>
      </c>
      <c r="E78" s="365">
        <f>Inputs!D106*Inputs!$E$112</f>
        <v>0</v>
      </c>
      <c r="F78" s="263">
        <f>IF(B78=0,0,Inputs!Q106)</f>
        <v>0</v>
      </c>
      <c r="G78" s="255"/>
      <c r="H78" s="445">
        <f t="shared" si="9"/>
        <v>0</v>
      </c>
      <c r="I78" s="547">
        <f>IF(HerdSize=0,"",IF('Breeding Herd'!H78="","",'Breeding Herd'!H78/HerdSize))</f>
        <v>0</v>
      </c>
      <c r="J78" s="566">
        <f>IF(HerdSize=0,"",IF(H78="","",H78/(HerdSize-Inputs!$G$5-Inputs!$G$6)))</f>
        <v>0</v>
      </c>
      <c r="K78" s="222"/>
      <c r="L78" s="222"/>
      <c r="M78" s="222"/>
      <c r="N78" s="222"/>
      <c r="O78" s="222"/>
      <c r="P78" s="222"/>
      <c r="Q78" s="222"/>
      <c r="R78" s="222"/>
      <c r="S78" s="222"/>
      <c r="T78" s="222"/>
      <c r="U78" s="222"/>
      <c r="V78" s="222"/>
      <c r="W78" s="222"/>
      <c r="X78" s="222"/>
      <c r="Y78" s="222"/>
      <c r="Z78" s="222"/>
      <c r="AA78" s="222"/>
      <c r="AB78" s="222"/>
      <c r="AC78" s="222"/>
      <c r="AD78" s="222"/>
      <c r="AE78" s="222"/>
      <c r="AF78" s="222"/>
      <c r="AG78" s="222"/>
      <c r="AH78" s="222"/>
      <c r="AI78" s="222"/>
      <c r="AJ78" s="222"/>
      <c r="AK78" s="222"/>
      <c r="AL78" s="222"/>
      <c r="AM78" s="222"/>
      <c r="AN78" s="222"/>
      <c r="AO78" s="222"/>
      <c r="AP78" s="222"/>
      <c r="AQ78" s="222"/>
      <c r="AR78" s="222"/>
    </row>
    <row r="79" spans="1:44" s="216" customFormat="1" hidden="1">
      <c r="A79" s="156"/>
      <c r="B79" s="283">
        <f>Inputs!B107</f>
        <v>0</v>
      </c>
      <c r="C79" s="250" t="s">
        <v>9</v>
      </c>
      <c r="D79" s="365">
        <f>IF(Inputs!F107=0,0,(Inputs!D107-Inputs!E107)/Inputs!F107)</f>
        <v>0</v>
      </c>
      <c r="E79" s="365">
        <f>Inputs!D107*Inputs!$E$112</f>
        <v>0</v>
      </c>
      <c r="F79" s="263">
        <f>IF(B79=0,0,Inputs!Q107)</f>
        <v>0</v>
      </c>
      <c r="G79" s="255"/>
      <c r="H79" s="445">
        <f t="shared" si="9"/>
        <v>0</v>
      </c>
      <c r="I79" s="547">
        <f>IF(HerdSize=0,"",IF('Breeding Herd'!H79="","",'Breeding Herd'!H79/HerdSize))</f>
        <v>0</v>
      </c>
      <c r="J79" s="566">
        <f>IF(HerdSize=0,"",IF(H79="","",H79/(HerdSize-Inputs!$G$5-Inputs!$G$6)))</f>
        <v>0</v>
      </c>
      <c r="K79" s="222"/>
      <c r="L79" s="222"/>
      <c r="M79" s="222"/>
      <c r="N79" s="222"/>
      <c r="O79" s="222"/>
      <c r="P79" s="222"/>
      <c r="Q79" s="222"/>
      <c r="R79" s="222"/>
      <c r="S79" s="222"/>
      <c r="T79" s="222"/>
      <c r="U79" s="222"/>
      <c r="V79" s="222"/>
      <c r="W79" s="222"/>
      <c r="X79" s="222"/>
      <c r="Y79" s="222"/>
      <c r="Z79" s="222"/>
      <c r="AA79" s="222"/>
      <c r="AB79" s="222"/>
      <c r="AC79" s="222"/>
      <c r="AD79" s="222"/>
      <c r="AE79" s="222"/>
      <c r="AF79" s="222"/>
      <c r="AG79" s="222"/>
      <c r="AH79" s="222"/>
      <c r="AI79" s="222"/>
      <c r="AJ79" s="222"/>
      <c r="AK79" s="222"/>
      <c r="AL79" s="222"/>
      <c r="AM79" s="222"/>
      <c r="AN79" s="222"/>
      <c r="AO79" s="222"/>
      <c r="AP79" s="222"/>
      <c r="AQ79" s="222"/>
      <c r="AR79" s="222"/>
    </row>
    <row r="80" spans="1:44" s="216" customFormat="1" hidden="1">
      <c r="A80" s="156"/>
      <c r="B80" s="283">
        <f>Inputs!B108</f>
        <v>0</v>
      </c>
      <c r="C80" s="250" t="s">
        <v>9</v>
      </c>
      <c r="D80" s="365">
        <f>IF(Inputs!F108=0,0,(Inputs!D108-Inputs!E108)/Inputs!F108)</f>
        <v>0</v>
      </c>
      <c r="E80" s="365">
        <f>Inputs!D108*Inputs!$E$112</f>
        <v>0</v>
      </c>
      <c r="F80" s="263">
        <f>IF(B80=0,0,Inputs!Q108)</f>
        <v>0</v>
      </c>
      <c r="G80" s="255"/>
      <c r="H80" s="445">
        <f t="shared" si="9"/>
        <v>0</v>
      </c>
      <c r="I80" s="547">
        <f>IF(HerdSize=0,"",IF('Breeding Herd'!H80="","",'Breeding Herd'!H80/HerdSize))</f>
        <v>0</v>
      </c>
      <c r="J80" s="566">
        <f>IF(HerdSize=0,"",IF(H80="","",H80/(HerdSize-Inputs!$G$5-Inputs!$G$6)))</f>
        <v>0</v>
      </c>
      <c r="K80" s="222"/>
      <c r="L80" s="222"/>
      <c r="M80" s="222"/>
      <c r="N80" s="222"/>
      <c r="O80" s="222"/>
      <c r="P80" s="222"/>
      <c r="Q80" s="222"/>
      <c r="R80" s="222"/>
      <c r="S80" s="222"/>
      <c r="T80" s="222"/>
      <c r="U80" s="222"/>
      <c r="V80" s="222"/>
      <c r="W80" s="222"/>
      <c r="X80" s="222"/>
      <c r="Y80" s="222"/>
      <c r="Z80" s="222"/>
      <c r="AA80" s="222"/>
      <c r="AB80" s="222"/>
      <c r="AC80" s="222"/>
      <c r="AD80" s="222"/>
      <c r="AE80" s="222"/>
      <c r="AF80" s="222"/>
      <c r="AG80" s="222"/>
      <c r="AH80" s="222"/>
      <c r="AI80" s="222"/>
      <c r="AJ80" s="222"/>
      <c r="AK80" s="222"/>
      <c r="AL80" s="222"/>
      <c r="AM80" s="222"/>
      <c r="AN80" s="222"/>
      <c r="AO80" s="222"/>
      <c r="AP80" s="222"/>
      <c r="AQ80" s="222"/>
      <c r="AR80" s="222"/>
    </row>
    <row r="81" spans="1:44" s="130" customFormat="1" hidden="1">
      <c r="A81" s="152"/>
      <c r="B81" s="239"/>
      <c r="C81" s="250"/>
      <c r="D81" s="255"/>
      <c r="E81" s="255"/>
      <c r="F81" s="263"/>
      <c r="G81" s="255"/>
      <c r="H81" s="445"/>
      <c r="I81" s="547"/>
      <c r="J81" s="566"/>
      <c r="K81" s="222"/>
      <c r="L81" s="222"/>
      <c r="M81" s="222"/>
      <c r="N81" s="222"/>
      <c r="O81" s="222"/>
      <c r="P81" s="222"/>
      <c r="Q81" s="222"/>
      <c r="R81" s="222"/>
      <c r="S81" s="222"/>
      <c r="T81" s="222"/>
      <c r="U81" s="222"/>
      <c r="V81" s="222"/>
      <c r="W81" s="222"/>
      <c r="X81" s="222"/>
      <c r="Y81" s="157"/>
      <c r="Z81" s="157"/>
      <c r="AA81" s="157"/>
      <c r="AB81" s="157"/>
      <c r="AC81" s="157"/>
      <c r="AD81" s="157"/>
      <c r="AE81" s="157"/>
      <c r="AF81" s="157"/>
      <c r="AG81" s="157"/>
      <c r="AH81" s="157"/>
      <c r="AI81" s="157"/>
      <c r="AJ81" s="157"/>
      <c r="AK81" s="157"/>
      <c r="AL81" s="157"/>
      <c r="AM81" s="157"/>
      <c r="AN81" s="157"/>
      <c r="AO81" s="157"/>
      <c r="AP81" s="157"/>
      <c r="AQ81" s="157"/>
      <c r="AR81" s="157"/>
    </row>
    <row r="82" spans="1:44" s="130" customFormat="1">
      <c r="A82" s="152"/>
      <c r="B82" s="262" t="s">
        <v>112</v>
      </c>
      <c r="C82" s="242"/>
      <c r="D82" s="270" t="s">
        <v>55</v>
      </c>
      <c r="E82" s="250"/>
      <c r="F82" s="266" t="s">
        <v>47</v>
      </c>
      <c r="G82" s="250"/>
      <c r="H82" s="445"/>
      <c r="I82" s="547"/>
      <c r="J82" s="566"/>
      <c r="K82" s="222"/>
      <c r="L82" s="222"/>
      <c r="M82" s="222"/>
      <c r="N82" s="222"/>
      <c r="O82" s="222"/>
      <c r="P82" s="222"/>
      <c r="Q82" s="222"/>
      <c r="R82" s="222"/>
      <c r="S82" s="222"/>
      <c r="T82" s="222"/>
      <c r="U82" s="222"/>
      <c r="V82" s="222"/>
      <c r="W82" s="222"/>
      <c r="X82" s="222"/>
      <c r="Y82" s="157"/>
      <c r="Z82" s="157"/>
      <c r="AA82" s="157"/>
      <c r="AB82" s="157"/>
      <c r="AC82" s="157"/>
      <c r="AD82" s="157"/>
      <c r="AE82" s="157"/>
      <c r="AF82" s="157"/>
      <c r="AG82" s="157"/>
      <c r="AH82" s="157"/>
      <c r="AI82" s="157"/>
      <c r="AJ82" s="157"/>
      <c r="AK82" s="157"/>
      <c r="AL82" s="157"/>
      <c r="AM82" s="157"/>
      <c r="AN82" s="157"/>
      <c r="AO82" s="157"/>
      <c r="AP82" s="157"/>
      <c r="AQ82" s="157"/>
      <c r="AR82" s="157"/>
    </row>
    <row r="83" spans="1:44" s="130" customFormat="1">
      <c r="A83" s="152"/>
      <c r="B83" s="249" t="s">
        <v>99</v>
      </c>
      <c r="C83" s="242"/>
      <c r="D83" s="250">
        <f>Inputs!E116*Inputs!E112</f>
        <v>0</v>
      </c>
      <c r="E83" s="250"/>
      <c r="F83" s="278">
        <f>Inputs!Q116</f>
        <v>0.93885666805825407</v>
      </c>
      <c r="G83" s="250"/>
      <c r="H83" s="445">
        <f>D83*F83</f>
        <v>0</v>
      </c>
      <c r="I83" s="547" t="str">
        <f>IF(HerdSize=0,"",IF('Breeding Herd'!H83=0,"",'Breeding Herd'!H83/HerdSize))</f>
        <v/>
      </c>
      <c r="J83" s="566" t="str">
        <f>IF(HerdSize=0,"",IF(H83=0,"",H83/(HerdSize-Inputs!$G$5-Inputs!$G$6)))</f>
        <v/>
      </c>
      <c r="K83" s="222"/>
      <c r="L83" s="222"/>
      <c r="M83" s="222"/>
      <c r="N83" s="222"/>
      <c r="O83" s="222"/>
      <c r="P83" s="222"/>
      <c r="Q83" s="222"/>
      <c r="R83" s="222"/>
      <c r="S83" s="222"/>
      <c r="T83" s="222"/>
      <c r="U83" s="222"/>
      <c r="V83" s="222"/>
      <c r="W83" s="222"/>
      <c r="X83" s="222"/>
      <c r="Y83" s="157"/>
      <c r="Z83" s="157"/>
      <c r="AA83" s="157"/>
      <c r="AB83" s="157"/>
      <c r="AC83" s="157"/>
      <c r="AD83" s="157"/>
      <c r="AE83" s="157"/>
      <c r="AF83" s="157"/>
      <c r="AG83" s="157"/>
      <c r="AH83" s="157"/>
      <c r="AI83" s="157"/>
      <c r="AJ83" s="157"/>
      <c r="AK83" s="157"/>
      <c r="AL83" s="157"/>
      <c r="AM83" s="157"/>
      <c r="AN83" s="157"/>
      <c r="AO83" s="157"/>
      <c r="AP83" s="157"/>
      <c r="AQ83" s="157"/>
      <c r="AR83" s="157"/>
    </row>
    <row r="84" spans="1:44" s="130" customFormat="1" ht="13.5" thickBot="1">
      <c r="A84" s="152"/>
      <c r="B84" s="252" t="s">
        <v>100</v>
      </c>
      <c r="C84" s="243"/>
      <c r="D84" s="285">
        <f>(Inputs!G3*Inputs!G4+Inputs!G17*(Inputs!G18+Inputs!G21*Inputs!G22/100)/2+Replacements!D1*Inputs!G25*Inputs!G27/100)*Inputs!E112</f>
        <v>13843.8</v>
      </c>
      <c r="E84" s="253"/>
      <c r="F84" s="286">
        <v>1</v>
      </c>
      <c r="G84" s="253"/>
      <c r="H84" s="445">
        <f>D84*F84</f>
        <v>13843.8</v>
      </c>
      <c r="I84" s="552">
        <f>IF(HerdSize=0,"",IF('Breeding Herd'!D84=0,"",'Breeding Herd'!D84/HerdSize))</f>
        <v>46.146000000000001</v>
      </c>
      <c r="J84" s="571">
        <f>IF((C4+C5)=0,"",IF(D84=0,"",D84/((C4+C5))))</f>
        <v>52.63802281368821</v>
      </c>
      <c r="K84" s="222"/>
      <c r="L84" s="222"/>
      <c r="M84" s="222"/>
      <c r="N84" s="222"/>
      <c r="O84" s="222"/>
      <c r="P84" s="222"/>
      <c r="Q84" s="222"/>
      <c r="R84" s="222"/>
      <c r="S84" s="222"/>
      <c r="T84" s="222"/>
      <c r="U84" s="222"/>
      <c r="V84" s="222"/>
      <c r="W84" s="222"/>
      <c r="X84" s="222"/>
      <c r="Y84" s="157"/>
      <c r="Z84" s="157"/>
      <c r="AA84" s="157"/>
      <c r="AB84" s="157"/>
      <c r="AC84" s="157"/>
      <c r="AD84" s="157"/>
      <c r="AE84" s="157"/>
      <c r="AF84" s="157"/>
      <c r="AG84" s="157"/>
      <c r="AH84" s="157"/>
      <c r="AI84" s="157"/>
      <c r="AJ84" s="157"/>
      <c r="AK84" s="157"/>
      <c r="AL84" s="157"/>
      <c r="AM84" s="157"/>
      <c r="AN84" s="157"/>
      <c r="AO84" s="157"/>
      <c r="AP84" s="157"/>
      <c r="AQ84" s="157"/>
      <c r="AR84" s="157"/>
    </row>
    <row r="85" spans="1:44" s="130" customFormat="1" ht="16.5" thickBot="1">
      <c r="A85" s="152"/>
      <c r="B85" s="279"/>
      <c r="C85" s="280"/>
      <c r="D85" s="280"/>
      <c r="E85" s="280"/>
      <c r="F85" s="280"/>
      <c r="G85" s="246" t="s">
        <v>105</v>
      </c>
      <c r="H85" s="534">
        <f>SUM(H71:H84)</f>
        <v>29246.657142857141</v>
      </c>
      <c r="I85" s="553">
        <f>SUM(I71:I84)</f>
        <v>97.488857142857142</v>
      </c>
      <c r="J85" s="572">
        <f>SUM(J71:J84)</f>
        <v>111.20401955458991</v>
      </c>
      <c r="K85" s="222"/>
      <c r="L85" s="222"/>
      <c r="M85" s="222"/>
      <c r="N85" s="222"/>
      <c r="O85" s="222"/>
      <c r="P85" s="222"/>
      <c r="Q85" s="222"/>
      <c r="R85" s="222"/>
      <c r="S85" s="222"/>
      <c r="T85" s="222"/>
      <c r="U85" s="222"/>
      <c r="V85" s="222"/>
      <c r="W85" s="222"/>
      <c r="X85" s="222"/>
      <c r="Y85" s="157"/>
      <c r="Z85" s="157"/>
      <c r="AA85" s="157"/>
      <c r="AB85" s="157"/>
      <c r="AC85" s="157"/>
      <c r="AD85" s="157"/>
      <c r="AE85" s="157"/>
      <c r="AF85" s="157"/>
      <c r="AG85" s="157"/>
      <c r="AH85" s="157"/>
      <c r="AI85" s="157"/>
      <c r="AJ85" s="157"/>
      <c r="AK85" s="157"/>
      <c r="AL85" s="157"/>
      <c r="AM85" s="157"/>
      <c r="AN85" s="157"/>
      <c r="AO85" s="157"/>
      <c r="AP85" s="157"/>
      <c r="AQ85" s="157"/>
      <c r="AR85" s="157"/>
    </row>
    <row r="86" spans="1:44" s="130" customFormat="1" ht="13.5" thickBot="1">
      <c r="A86" s="152"/>
      <c r="B86" s="377"/>
      <c r="C86" s="377"/>
      <c r="D86" s="377"/>
      <c r="E86" s="377"/>
      <c r="F86" s="377"/>
      <c r="G86" s="377"/>
      <c r="H86" s="533"/>
      <c r="I86" s="551"/>
      <c r="J86" s="570"/>
      <c r="K86" s="222"/>
      <c r="L86" s="222"/>
      <c r="M86" s="222"/>
      <c r="N86" s="222"/>
      <c r="O86" s="222"/>
      <c r="P86" s="222"/>
      <c r="Q86" s="222"/>
      <c r="R86" s="222"/>
      <c r="S86" s="222"/>
      <c r="T86" s="222"/>
      <c r="U86" s="222"/>
      <c r="V86" s="222"/>
      <c r="W86" s="222"/>
      <c r="X86" s="222"/>
      <c r="Y86" s="157"/>
      <c r="Z86" s="157"/>
      <c r="AA86" s="157"/>
      <c r="AB86" s="157"/>
      <c r="AC86" s="157"/>
      <c r="AD86" s="157"/>
      <c r="AE86" s="157"/>
      <c r="AF86" s="157"/>
      <c r="AG86" s="157"/>
      <c r="AH86" s="157"/>
      <c r="AI86" s="157"/>
      <c r="AJ86" s="157"/>
      <c r="AK86" s="157"/>
      <c r="AL86" s="157"/>
      <c r="AM86" s="157"/>
      <c r="AN86" s="157"/>
      <c r="AO86" s="157"/>
      <c r="AP86" s="157"/>
      <c r="AQ86" s="157"/>
      <c r="AR86" s="157"/>
    </row>
    <row r="87" spans="1:44" s="130" customFormat="1" ht="18" customHeight="1">
      <c r="A87" s="152"/>
      <c r="B87" s="147" t="s">
        <v>107</v>
      </c>
      <c r="C87" s="139"/>
      <c r="D87" s="143"/>
      <c r="E87" s="143"/>
      <c r="F87" s="143"/>
      <c r="G87" s="144"/>
      <c r="H87" s="535" t="s">
        <v>73</v>
      </c>
      <c r="I87" s="554" t="s">
        <v>90</v>
      </c>
      <c r="J87" s="573" t="s">
        <v>148</v>
      </c>
      <c r="K87" s="222"/>
      <c r="L87" s="222"/>
      <c r="M87" s="222"/>
      <c r="N87" s="222"/>
      <c r="O87" s="222"/>
      <c r="P87" s="222"/>
      <c r="Q87" s="222"/>
      <c r="R87" s="222"/>
      <c r="S87" s="222"/>
      <c r="T87" s="222"/>
      <c r="U87" s="222"/>
      <c r="V87" s="222"/>
      <c r="W87" s="222"/>
      <c r="X87" s="222"/>
      <c r="Y87" s="157"/>
      <c r="Z87" s="157"/>
      <c r="AA87" s="157"/>
      <c r="AB87" s="157"/>
      <c r="AC87" s="157"/>
      <c r="AD87" s="157"/>
      <c r="AE87" s="157"/>
      <c r="AF87" s="157"/>
      <c r="AG87" s="157"/>
      <c r="AH87" s="157"/>
      <c r="AI87" s="157"/>
      <c r="AJ87" s="157"/>
      <c r="AK87" s="157"/>
      <c r="AL87" s="157"/>
      <c r="AM87" s="157"/>
      <c r="AN87" s="157"/>
      <c r="AO87" s="157"/>
      <c r="AP87" s="157"/>
      <c r="AQ87" s="157"/>
      <c r="AR87" s="157"/>
    </row>
    <row r="88" spans="1:44" s="130" customFormat="1" ht="16.5" thickBot="1">
      <c r="A88" s="152"/>
      <c r="B88" s="135"/>
      <c r="C88" s="136"/>
      <c r="D88" s="136"/>
      <c r="E88" s="136"/>
      <c r="F88" s="136"/>
      <c r="G88" s="137" t="s">
        <v>70</v>
      </c>
      <c r="H88" s="536">
        <f>H65+H85</f>
        <v>280812.37726970081</v>
      </c>
      <c r="I88" s="555">
        <f>I65+I85</f>
        <v>936.04125756566953</v>
      </c>
      <c r="J88" s="574">
        <f>J65+J85</f>
        <v>1069.4394748600837</v>
      </c>
      <c r="K88" s="222"/>
      <c r="L88" s="222"/>
      <c r="M88" s="222"/>
      <c r="N88" s="222"/>
      <c r="O88" s="222"/>
      <c r="P88" s="222"/>
      <c r="Q88" s="222"/>
      <c r="R88" s="222"/>
      <c r="S88" s="222"/>
      <c r="T88" s="222"/>
      <c r="U88" s="222"/>
      <c r="V88" s="222"/>
      <c r="W88" s="222"/>
      <c r="X88" s="222"/>
      <c r="Y88" s="157"/>
      <c r="Z88" s="157"/>
      <c r="AA88" s="157"/>
      <c r="AB88" s="157"/>
      <c r="AC88" s="157"/>
      <c r="AD88" s="157"/>
      <c r="AE88" s="157"/>
      <c r="AF88" s="157"/>
      <c r="AG88" s="157"/>
      <c r="AH88" s="157"/>
      <c r="AI88" s="157"/>
      <c r="AJ88" s="157"/>
      <c r="AK88" s="157"/>
      <c r="AL88" s="157"/>
      <c r="AM88" s="157"/>
      <c r="AN88" s="157"/>
      <c r="AO88" s="157"/>
      <c r="AP88" s="157"/>
      <c r="AQ88" s="157"/>
      <c r="AR88" s="157"/>
    </row>
    <row r="89" spans="1:44" s="130" customFormat="1" ht="13.5" thickBot="1">
      <c r="A89" s="152"/>
      <c r="B89" s="62"/>
      <c r="C89" s="49"/>
      <c r="D89" s="49"/>
      <c r="E89" s="49"/>
      <c r="F89" s="49"/>
      <c r="G89" s="49"/>
      <c r="H89" s="365"/>
      <c r="I89" s="540"/>
      <c r="J89" s="575"/>
      <c r="K89" s="222"/>
      <c r="L89" s="222"/>
      <c r="M89" s="222"/>
      <c r="N89" s="222"/>
      <c r="O89" s="222"/>
      <c r="P89" s="222"/>
      <c r="Q89" s="222"/>
      <c r="R89" s="222"/>
      <c r="S89" s="222"/>
      <c r="T89" s="222"/>
      <c r="U89" s="222"/>
      <c r="V89" s="222"/>
      <c r="W89" s="222"/>
      <c r="X89" s="222"/>
      <c r="Y89" s="157"/>
      <c r="Z89" s="157"/>
      <c r="AA89" s="157"/>
      <c r="AB89" s="157"/>
      <c r="AC89" s="157"/>
      <c r="AD89" s="157"/>
      <c r="AE89" s="157"/>
      <c r="AF89" s="157"/>
      <c r="AG89" s="157"/>
      <c r="AH89" s="157"/>
      <c r="AI89" s="157"/>
      <c r="AJ89" s="157"/>
      <c r="AK89" s="157"/>
      <c r="AL89" s="157"/>
      <c r="AM89" s="157"/>
      <c r="AN89" s="157"/>
      <c r="AO89" s="157"/>
      <c r="AP89" s="157"/>
      <c r="AQ89" s="157"/>
      <c r="AR89" s="157"/>
    </row>
    <row r="90" spans="1:44" s="130" customFormat="1" ht="16.5" thickBot="1">
      <c r="A90" s="152"/>
      <c r="B90" s="66"/>
      <c r="C90" s="67"/>
      <c r="D90" s="67"/>
      <c r="E90" s="67"/>
      <c r="F90" s="67"/>
      <c r="G90" s="21" t="s">
        <v>244</v>
      </c>
      <c r="H90" s="537">
        <f>H9-H88</f>
        <v>-8464.3772697008098</v>
      </c>
      <c r="I90" s="471">
        <f>I9-I88</f>
        <v>-28.214590899002815</v>
      </c>
      <c r="J90" s="471">
        <f>J9-J88</f>
        <v>-33.895748624342332</v>
      </c>
      <c r="K90" s="222"/>
      <c r="L90" s="222"/>
      <c r="M90" s="222"/>
      <c r="N90" s="222"/>
      <c r="O90" s="222"/>
      <c r="P90" s="222"/>
      <c r="Q90" s="222"/>
      <c r="R90" s="222"/>
      <c r="S90" s="222"/>
      <c r="T90" s="222"/>
      <c r="U90" s="222"/>
      <c r="V90" s="222"/>
      <c r="W90" s="222"/>
      <c r="X90" s="222"/>
      <c r="Y90" s="157"/>
      <c r="Z90" s="157"/>
      <c r="AA90" s="157"/>
      <c r="AB90" s="157"/>
      <c r="AC90" s="157"/>
      <c r="AD90" s="157"/>
      <c r="AE90" s="157"/>
      <c r="AF90" s="157"/>
      <c r="AG90" s="157"/>
      <c r="AH90" s="157"/>
      <c r="AI90" s="157"/>
      <c r="AJ90" s="157"/>
      <c r="AK90" s="157"/>
      <c r="AL90" s="157"/>
      <c r="AM90" s="157"/>
      <c r="AN90" s="157"/>
      <c r="AO90" s="157"/>
      <c r="AP90" s="157"/>
      <c r="AQ90" s="157"/>
      <c r="AR90" s="157"/>
    </row>
    <row r="91" spans="1:44" s="130" customFormat="1">
      <c r="A91" s="152"/>
      <c r="B91" s="153"/>
      <c r="C91" s="153"/>
      <c r="D91" s="153"/>
      <c r="E91" s="153"/>
      <c r="F91" s="153"/>
      <c r="G91" s="153"/>
      <c r="H91" s="153"/>
      <c r="I91" s="153"/>
      <c r="J91" s="153"/>
      <c r="K91" s="222"/>
      <c r="L91" s="222"/>
      <c r="M91" s="222"/>
      <c r="N91" s="222"/>
      <c r="O91" s="222"/>
      <c r="P91" s="222"/>
      <c r="Q91" s="222"/>
      <c r="R91" s="222"/>
      <c r="S91" s="222"/>
      <c r="T91" s="222"/>
      <c r="U91" s="222"/>
      <c r="V91" s="222"/>
      <c r="W91" s="222"/>
      <c r="X91" s="222"/>
      <c r="Y91" s="157"/>
      <c r="Z91" s="157"/>
      <c r="AA91" s="157"/>
      <c r="AB91" s="157"/>
      <c r="AC91" s="157"/>
      <c r="AD91" s="157"/>
      <c r="AE91" s="157"/>
      <c r="AF91" s="157"/>
      <c r="AG91" s="157"/>
      <c r="AH91" s="157"/>
      <c r="AI91" s="157"/>
      <c r="AJ91" s="157"/>
      <c r="AK91" s="157"/>
      <c r="AL91" s="157"/>
      <c r="AM91" s="157"/>
      <c r="AN91" s="157"/>
      <c r="AO91" s="157"/>
      <c r="AP91" s="157"/>
      <c r="AQ91" s="157"/>
      <c r="AR91" s="157"/>
    </row>
    <row r="92" spans="1:44" s="130" customFormat="1">
      <c r="A92" s="152"/>
      <c r="B92" s="153"/>
      <c r="C92" s="153"/>
      <c r="D92" s="153"/>
      <c r="E92" s="153"/>
      <c r="F92" s="153"/>
      <c r="G92" s="153"/>
      <c r="H92" s="153"/>
      <c r="I92" s="153"/>
      <c r="J92" s="153"/>
      <c r="K92" s="222"/>
      <c r="L92" s="222"/>
      <c r="M92" s="222"/>
      <c r="N92" s="222"/>
      <c r="O92" s="222"/>
      <c r="P92" s="222"/>
      <c r="Q92" s="222"/>
      <c r="R92" s="222"/>
      <c r="S92" s="222"/>
      <c r="T92" s="222"/>
      <c r="U92" s="222"/>
      <c r="V92" s="222"/>
      <c r="W92" s="222"/>
      <c r="X92" s="222"/>
      <c r="Y92" s="157"/>
      <c r="Z92" s="157"/>
      <c r="AA92" s="157"/>
      <c r="AB92" s="157"/>
      <c r="AC92" s="157"/>
      <c r="AD92" s="157"/>
      <c r="AE92" s="157"/>
      <c r="AF92" s="157"/>
      <c r="AG92" s="157"/>
      <c r="AH92" s="157"/>
      <c r="AI92" s="157"/>
      <c r="AJ92" s="157"/>
      <c r="AK92" s="157"/>
      <c r="AL92" s="157"/>
      <c r="AM92" s="157"/>
      <c r="AN92" s="157"/>
      <c r="AO92" s="157"/>
      <c r="AP92" s="157"/>
      <c r="AQ92" s="157"/>
      <c r="AR92" s="157"/>
    </row>
    <row r="93" spans="1:44" s="130" customFormat="1">
      <c r="A93" s="152"/>
      <c r="B93" s="153"/>
      <c r="C93" s="153"/>
      <c r="D93" s="153"/>
      <c r="E93" s="153"/>
      <c r="F93" s="153"/>
      <c r="G93" s="153"/>
      <c r="H93" s="153"/>
      <c r="I93" s="153"/>
      <c r="J93" s="153"/>
      <c r="K93" s="222"/>
      <c r="L93" s="222"/>
      <c r="M93" s="222"/>
      <c r="N93" s="222"/>
      <c r="O93" s="222"/>
      <c r="P93" s="222"/>
      <c r="Q93" s="222"/>
      <c r="R93" s="222"/>
      <c r="S93" s="222"/>
      <c r="T93" s="222"/>
      <c r="U93" s="222"/>
      <c r="V93" s="222"/>
      <c r="W93" s="222"/>
      <c r="X93" s="222"/>
      <c r="Y93" s="157"/>
      <c r="Z93" s="157"/>
      <c r="AA93" s="157"/>
      <c r="AB93" s="157"/>
      <c r="AC93" s="157"/>
      <c r="AD93" s="157"/>
      <c r="AE93" s="157"/>
      <c r="AF93" s="157"/>
      <c r="AG93" s="157"/>
      <c r="AH93" s="157"/>
      <c r="AI93" s="157"/>
      <c r="AJ93" s="157"/>
      <c r="AK93" s="157"/>
      <c r="AL93" s="157"/>
      <c r="AM93" s="157"/>
      <c r="AN93" s="157"/>
      <c r="AO93" s="157"/>
      <c r="AP93" s="157"/>
      <c r="AQ93" s="157"/>
      <c r="AR93" s="157"/>
    </row>
    <row r="94" spans="1:44" s="130" customFormat="1">
      <c r="A94" s="152"/>
      <c r="B94" s="153"/>
      <c r="C94" s="153"/>
      <c r="D94" s="153"/>
      <c r="E94" s="153"/>
      <c r="F94" s="153"/>
      <c r="G94" s="153"/>
      <c r="H94" s="153"/>
      <c r="I94" s="153"/>
      <c r="J94" s="153"/>
      <c r="K94" s="222"/>
      <c r="L94" s="222"/>
      <c r="M94" s="222"/>
      <c r="N94" s="222"/>
      <c r="O94" s="222"/>
      <c r="P94" s="222"/>
      <c r="Q94" s="222"/>
      <c r="R94" s="222"/>
      <c r="S94" s="222"/>
      <c r="T94" s="222"/>
      <c r="U94" s="222"/>
      <c r="V94" s="222"/>
      <c r="W94" s="222"/>
      <c r="X94" s="222"/>
      <c r="Y94" s="157"/>
      <c r="Z94" s="157"/>
      <c r="AA94" s="157"/>
      <c r="AB94" s="157"/>
      <c r="AC94" s="157"/>
      <c r="AD94" s="157"/>
      <c r="AE94" s="157"/>
      <c r="AF94" s="157"/>
      <c r="AG94" s="157"/>
      <c r="AH94" s="157"/>
      <c r="AI94" s="157"/>
      <c r="AJ94" s="157"/>
      <c r="AK94" s="157"/>
      <c r="AL94" s="157"/>
      <c r="AM94" s="157"/>
      <c r="AN94" s="157"/>
      <c r="AO94" s="157"/>
      <c r="AP94" s="157"/>
      <c r="AQ94" s="157"/>
      <c r="AR94" s="157"/>
    </row>
    <row r="95" spans="1:44" s="130" customFormat="1">
      <c r="A95" s="152"/>
      <c r="B95" s="153"/>
      <c r="C95" s="153"/>
      <c r="D95" s="153"/>
      <c r="E95" s="153"/>
      <c r="F95" s="153"/>
      <c r="G95" s="153"/>
      <c r="H95" s="153"/>
      <c r="I95" s="153"/>
      <c r="J95" s="153"/>
      <c r="K95" s="222"/>
      <c r="L95" s="222"/>
      <c r="M95" s="222"/>
      <c r="N95" s="222"/>
      <c r="O95" s="222"/>
      <c r="P95" s="222"/>
      <c r="Q95" s="222"/>
      <c r="R95" s="222"/>
      <c r="S95" s="222"/>
      <c r="T95" s="222"/>
      <c r="U95" s="222"/>
      <c r="V95" s="222"/>
      <c r="W95" s="222"/>
      <c r="X95" s="222"/>
      <c r="Y95" s="157"/>
      <c r="Z95" s="157"/>
      <c r="AA95" s="157"/>
      <c r="AB95" s="157"/>
      <c r="AC95" s="157"/>
      <c r="AD95" s="157"/>
      <c r="AE95" s="157"/>
      <c r="AF95" s="157"/>
      <c r="AG95" s="157"/>
      <c r="AH95" s="157"/>
      <c r="AI95" s="157"/>
      <c r="AJ95" s="157"/>
      <c r="AK95" s="157"/>
      <c r="AL95" s="157"/>
      <c r="AM95" s="157"/>
      <c r="AN95" s="157"/>
      <c r="AO95" s="157"/>
      <c r="AP95" s="157"/>
      <c r="AQ95" s="157"/>
      <c r="AR95" s="157"/>
    </row>
    <row r="96" spans="1:44" s="130" customFormat="1">
      <c r="A96" s="152"/>
      <c r="B96" s="153"/>
      <c r="C96" s="153"/>
      <c r="D96" s="153"/>
      <c r="E96" s="153"/>
      <c r="F96" s="153"/>
      <c r="G96" s="153"/>
      <c r="H96" s="153"/>
      <c r="I96" s="153"/>
      <c r="J96" s="153"/>
      <c r="K96" s="222"/>
      <c r="L96" s="222"/>
      <c r="M96" s="222"/>
      <c r="N96" s="222"/>
      <c r="O96" s="222"/>
      <c r="P96" s="222"/>
      <c r="Q96" s="222"/>
      <c r="R96" s="222"/>
      <c r="S96" s="222"/>
      <c r="T96" s="222"/>
      <c r="U96" s="222"/>
      <c r="V96" s="222"/>
      <c r="W96" s="222"/>
      <c r="X96" s="222"/>
      <c r="Y96" s="157"/>
      <c r="Z96" s="157"/>
      <c r="AA96" s="157"/>
      <c r="AB96" s="157"/>
      <c r="AC96" s="157"/>
      <c r="AD96" s="157"/>
      <c r="AE96" s="157"/>
      <c r="AF96" s="157"/>
      <c r="AG96" s="157"/>
      <c r="AH96" s="157"/>
      <c r="AI96" s="157"/>
      <c r="AJ96" s="157"/>
      <c r="AK96" s="157"/>
      <c r="AL96" s="157"/>
      <c r="AM96" s="157"/>
      <c r="AN96" s="157"/>
      <c r="AO96" s="157"/>
      <c r="AP96" s="157"/>
      <c r="AQ96" s="157"/>
      <c r="AR96" s="157"/>
    </row>
    <row r="97" spans="2:10">
      <c r="B97" s="153"/>
      <c r="C97" s="153"/>
      <c r="D97" s="153"/>
      <c r="E97" s="153"/>
      <c r="F97" s="153"/>
      <c r="G97" s="153"/>
      <c r="H97" s="153"/>
      <c r="I97" s="153"/>
      <c r="J97" s="153"/>
    </row>
    <row r="98" spans="2:10">
      <c r="B98" s="153"/>
      <c r="C98" s="153"/>
      <c r="D98" s="153"/>
      <c r="E98" s="153"/>
      <c r="F98" s="153"/>
      <c r="G98" s="153"/>
      <c r="H98" s="153"/>
      <c r="I98" s="153"/>
      <c r="J98" s="153"/>
    </row>
    <row r="99" spans="2:10">
      <c r="B99" s="153"/>
      <c r="C99" s="153"/>
      <c r="D99" s="153"/>
      <c r="E99" s="153"/>
      <c r="F99" s="153"/>
      <c r="G99" s="153"/>
      <c r="H99" s="153"/>
      <c r="I99" s="153"/>
      <c r="J99" s="153"/>
    </row>
    <row r="100" spans="2:10">
      <c r="B100" s="153"/>
      <c r="C100" s="153"/>
      <c r="D100" s="153"/>
      <c r="E100" s="153"/>
      <c r="F100" s="153"/>
      <c r="G100" s="153"/>
      <c r="H100" s="153"/>
      <c r="I100" s="153"/>
      <c r="J100" s="153"/>
    </row>
    <row r="101" spans="2:10">
      <c r="B101" s="153"/>
      <c r="C101" s="153"/>
      <c r="D101" s="153"/>
      <c r="E101" s="153"/>
      <c r="F101" s="153"/>
      <c r="G101" s="153"/>
      <c r="H101" s="153"/>
      <c r="I101" s="153"/>
      <c r="J101" s="153"/>
    </row>
    <row r="102" spans="2:10">
      <c r="B102" s="153"/>
      <c r="C102" s="153"/>
      <c r="D102" s="153"/>
      <c r="E102" s="153"/>
      <c r="F102" s="153"/>
      <c r="G102" s="153"/>
      <c r="H102" s="153"/>
      <c r="I102" s="153"/>
      <c r="J102" s="153"/>
    </row>
    <row r="103" spans="2:10">
      <c r="B103" s="153"/>
      <c r="C103" s="153"/>
      <c r="D103" s="153"/>
      <c r="E103" s="153"/>
      <c r="F103" s="153"/>
      <c r="G103" s="153"/>
      <c r="H103" s="153"/>
      <c r="I103" s="153"/>
      <c r="J103" s="153"/>
    </row>
    <row r="104" spans="2:10">
      <c r="B104" s="153"/>
      <c r="C104" s="153"/>
      <c r="D104" s="153"/>
      <c r="E104" s="153"/>
      <c r="F104" s="153"/>
      <c r="G104" s="153"/>
      <c r="H104" s="153"/>
      <c r="I104" s="153"/>
      <c r="J104" s="153"/>
    </row>
    <row r="105" spans="2:10">
      <c r="B105" s="153"/>
      <c r="C105" s="153"/>
      <c r="D105" s="153"/>
      <c r="E105" s="153"/>
      <c r="F105" s="153"/>
      <c r="G105" s="153"/>
      <c r="H105" s="153"/>
      <c r="I105" s="153"/>
      <c r="J105" s="153"/>
    </row>
    <row r="106" spans="2:10">
      <c r="B106" s="153"/>
      <c r="C106" s="153"/>
      <c r="D106" s="153"/>
      <c r="E106" s="153"/>
      <c r="F106" s="153"/>
      <c r="G106" s="153"/>
      <c r="H106" s="153"/>
      <c r="I106" s="153"/>
      <c r="J106" s="153"/>
    </row>
    <row r="107" spans="2:10">
      <c r="B107" s="153"/>
      <c r="C107" s="153"/>
      <c r="D107" s="153"/>
      <c r="E107" s="153"/>
      <c r="F107" s="153"/>
      <c r="G107" s="153"/>
      <c r="H107" s="153"/>
      <c r="I107" s="153"/>
      <c r="J107" s="153"/>
    </row>
    <row r="108" spans="2:10">
      <c r="B108" s="153"/>
      <c r="C108" s="153"/>
      <c r="D108" s="153"/>
      <c r="E108" s="153"/>
      <c r="F108" s="153"/>
      <c r="G108" s="153"/>
      <c r="H108" s="153"/>
      <c r="I108" s="153"/>
      <c r="J108" s="153"/>
    </row>
    <row r="109" spans="2:10">
      <c r="B109" s="153"/>
      <c r="C109" s="153"/>
      <c r="D109" s="153"/>
      <c r="E109" s="153"/>
      <c r="F109" s="153"/>
      <c r="G109" s="153"/>
      <c r="H109" s="153"/>
      <c r="I109" s="153"/>
      <c r="J109" s="153"/>
    </row>
    <row r="110" spans="2:10">
      <c r="B110" s="153"/>
      <c r="C110" s="153"/>
      <c r="D110" s="153"/>
      <c r="E110" s="153"/>
      <c r="F110" s="153"/>
      <c r="G110" s="153"/>
      <c r="H110" s="153"/>
      <c r="I110" s="153"/>
      <c r="J110" s="153"/>
    </row>
    <row r="111" spans="2:10">
      <c r="B111" s="153"/>
      <c r="C111" s="153"/>
      <c r="D111" s="153"/>
      <c r="E111" s="153"/>
      <c r="F111" s="153"/>
      <c r="G111" s="153"/>
      <c r="H111" s="153"/>
      <c r="I111" s="153"/>
      <c r="J111" s="153"/>
    </row>
    <row r="112" spans="2:10">
      <c r="B112" s="153"/>
      <c r="C112" s="153"/>
      <c r="D112" s="153"/>
      <c r="E112" s="153"/>
      <c r="F112" s="153"/>
      <c r="G112" s="153"/>
      <c r="H112" s="153"/>
      <c r="I112" s="153"/>
      <c r="J112" s="153"/>
    </row>
    <row r="113" spans="2:10">
      <c r="B113" s="153"/>
      <c r="C113" s="153"/>
      <c r="D113" s="153"/>
      <c r="E113" s="153"/>
      <c r="F113" s="153"/>
      <c r="G113" s="153"/>
      <c r="H113" s="153"/>
      <c r="I113" s="153"/>
      <c r="J113" s="153"/>
    </row>
    <row r="114" spans="2:10">
      <c r="B114" s="153"/>
      <c r="C114" s="153"/>
      <c r="D114" s="153"/>
      <c r="E114" s="153"/>
      <c r="F114" s="153"/>
      <c r="G114" s="153"/>
      <c r="H114" s="153"/>
      <c r="I114" s="153"/>
      <c r="J114" s="153"/>
    </row>
    <row r="115" spans="2:10">
      <c r="B115" s="153"/>
      <c r="C115" s="153"/>
      <c r="D115" s="153"/>
      <c r="E115" s="153"/>
      <c r="F115" s="153"/>
      <c r="G115" s="153"/>
      <c r="H115" s="153"/>
      <c r="I115" s="153"/>
      <c r="J115" s="153"/>
    </row>
    <row r="116" spans="2:10">
      <c r="B116" s="153"/>
      <c r="C116" s="153"/>
      <c r="D116" s="153"/>
      <c r="E116" s="153"/>
      <c r="F116" s="153"/>
      <c r="G116" s="153"/>
      <c r="H116" s="153"/>
      <c r="I116" s="153"/>
      <c r="J116" s="153"/>
    </row>
    <row r="117" spans="2:10">
      <c r="B117" s="153"/>
      <c r="C117" s="153"/>
      <c r="D117" s="153"/>
      <c r="E117" s="153"/>
      <c r="F117" s="153"/>
      <c r="G117" s="153"/>
      <c r="H117" s="153"/>
      <c r="I117" s="153"/>
      <c r="J117" s="153"/>
    </row>
    <row r="118" spans="2:10">
      <c r="B118" s="153"/>
      <c r="C118" s="153"/>
      <c r="D118" s="153"/>
      <c r="E118" s="153"/>
      <c r="F118" s="153"/>
      <c r="G118" s="153"/>
      <c r="H118" s="153"/>
      <c r="I118" s="153"/>
      <c r="J118" s="153"/>
    </row>
    <row r="119" spans="2:10">
      <c r="B119" s="153"/>
      <c r="C119" s="153"/>
      <c r="D119" s="153"/>
      <c r="E119" s="153"/>
      <c r="F119" s="153"/>
      <c r="G119" s="153"/>
      <c r="H119" s="153"/>
      <c r="I119" s="153"/>
      <c r="J119" s="153"/>
    </row>
    <row r="120" spans="2:10">
      <c r="B120" s="153"/>
      <c r="C120" s="153"/>
      <c r="D120" s="153"/>
      <c r="E120" s="153"/>
      <c r="F120" s="153"/>
      <c r="G120" s="153"/>
      <c r="H120" s="153"/>
      <c r="I120" s="153"/>
      <c r="J120" s="153"/>
    </row>
    <row r="121" spans="2:10">
      <c r="B121" s="153"/>
      <c r="C121" s="153"/>
      <c r="D121" s="153"/>
      <c r="E121" s="153"/>
      <c r="F121" s="153"/>
      <c r="G121" s="153"/>
      <c r="H121" s="153"/>
      <c r="I121" s="153"/>
      <c r="J121" s="153"/>
    </row>
    <row r="122" spans="2:10">
      <c r="B122" s="153"/>
      <c r="C122" s="153"/>
      <c r="D122" s="153"/>
      <c r="E122" s="153"/>
      <c r="F122" s="153"/>
      <c r="G122" s="153"/>
      <c r="H122" s="153"/>
      <c r="I122" s="153"/>
      <c r="J122" s="153"/>
    </row>
    <row r="123" spans="2:10">
      <c r="B123" s="153"/>
      <c r="C123" s="153"/>
      <c r="D123" s="153"/>
      <c r="E123" s="153"/>
      <c r="F123" s="153"/>
      <c r="G123" s="153"/>
      <c r="H123" s="153"/>
      <c r="I123" s="153"/>
      <c r="J123" s="153"/>
    </row>
    <row r="124" spans="2:10">
      <c r="B124" s="153"/>
      <c r="C124" s="153"/>
      <c r="D124" s="153"/>
      <c r="E124" s="153"/>
      <c r="F124" s="153"/>
      <c r="G124" s="153"/>
      <c r="H124" s="153"/>
      <c r="I124" s="153"/>
      <c r="J124" s="153"/>
    </row>
    <row r="125" spans="2:10">
      <c r="B125" s="153"/>
      <c r="C125" s="153"/>
      <c r="D125" s="153"/>
      <c r="E125" s="153"/>
      <c r="F125" s="153"/>
      <c r="G125" s="153"/>
      <c r="H125" s="153"/>
      <c r="I125" s="153"/>
      <c r="J125" s="153"/>
    </row>
    <row r="126" spans="2:10">
      <c r="B126" s="153"/>
      <c r="C126" s="153"/>
      <c r="D126" s="153"/>
      <c r="E126" s="153"/>
      <c r="F126" s="153"/>
      <c r="G126" s="153"/>
      <c r="H126" s="153"/>
      <c r="I126" s="153"/>
      <c r="J126" s="153"/>
    </row>
    <row r="127" spans="2:10">
      <c r="B127" s="153"/>
      <c r="C127" s="153"/>
      <c r="D127" s="153"/>
      <c r="E127" s="153"/>
      <c r="F127" s="153"/>
      <c r="G127" s="153"/>
      <c r="H127" s="153"/>
      <c r="I127" s="153"/>
      <c r="J127" s="153"/>
    </row>
    <row r="128" spans="2:10">
      <c r="B128" s="153"/>
      <c r="C128" s="153"/>
      <c r="D128" s="153"/>
      <c r="E128" s="153"/>
      <c r="F128" s="153"/>
      <c r="G128" s="153"/>
      <c r="H128" s="153"/>
      <c r="I128" s="153"/>
      <c r="J128" s="153"/>
    </row>
    <row r="129" spans="2:10">
      <c r="B129" s="153"/>
      <c r="C129" s="153"/>
      <c r="D129" s="153"/>
      <c r="E129" s="153"/>
      <c r="F129" s="153"/>
      <c r="G129" s="153"/>
      <c r="H129" s="153"/>
      <c r="I129" s="153"/>
      <c r="J129" s="153"/>
    </row>
    <row r="130" spans="2:10">
      <c r="B130" s="153"/>
      <c r="C130" s="153"/>
      <c r="D130" s="153"/>
      <c r="E130" s="153"/>
      <c r="F130" s="153"/>
      <c r="G130" s="153"/>
      <c r="H130" s="153"/>
      <c r="I130" s="153"/>
      <c r="J130" s="153"/>
    </row>
    <row r="131" spans="2:10">
      <c r="B131" s="153"/>
      <c r="C131" s="153"/>
      <c r="D131" s="153"/>
      <c r="E131" s="153"/>
      <c r="F131" s="153"/>
      <c r="G131" s="153"/>
      <c r="H131" s="153"/>
      <c r="I131" s="153"/>
      <c r="J131" s="153"/>
    </row>
    <row r="132" spans="2:10">
      <c r="B132" s="153"/>
      <c r="C132" s="153"/>
      <c r="D132" s="153"/>
      <c r="E132" s="153"/>
      <c r="F132" s="153"/>
      <c r="G132" s="153"/>
      <c r="H132" s="153"/>
      <c r="I132" s="153"/>
      <c r="J132" s="153"/>
    </row>
    <row r="133" spans="2:10">
      <c r="B133" s="153"/>
      <c r="C133" s="153"/>
      <c r="D133" s="153"/>
      <c r="E133" s="153"/>
      <c r="F133" s="153"/>
      <c r="G133" s="153"/>
      <c r="H133" s="153"/>
      <c r="I133" s="153"/>
      <c r="J133" s="153"/>
    </row>
    <row r="134" spans="2:10">
      <c r="B134" s="153"/>
      <c r="C134" s="153"/>
      <c r="D134" s="153"/>
      <c r="E134" s="153"/>
      <c r="F134" s="153"/>
      <c r="G134" s="153"/>
      <c r="H134" s="153"/>
      <c r="I134" s="153"/>
      <c r="J134" s="153"/>
    </row>
    <row r="135" spans="2:10">
      <c r="B135" s="153"/>
      <c r="C135" s="153"/>
      <c r="D135" s="153"/>
      <c r="E135" s="153"/>
      <c r="F135" s="153"/>
      <c r="G135" s="153"/>
      <c r="H135" s="153"/>
      <c r="I135" s="153"/>
      <c r="J135" s="153"/>
    </row>
    <row r="136" spans="2:10">
      <c r="B136" s="153"/>
      <c r="C136" s="153"/>
      <c r="D136" s="153"/>
      <c r="E136" s="153"/>
      <c r="F136" s="153"/>
      <c r="G136" s="153"/>
      <c r="H136" s="153"/>
      <c r="I136" s="153"/>
      <c r="J136" s="153"/>
    </row>
    <row r="137" spans="2:10">
      <c r="B137" s="153"/>
      <c r="C137" s="153"/>
      <c r="D137" s="153"/>
      <c r="E137" s="153"/>
      <c r="F137" s="153"/>
      <c r="G137" s="153"/>
      <c r="H137" s="153"/>
      <c r="I137" s="153"/>
      <c r="J137" s="153"/>
    </row>
    <row r="138" spans="2:10">
      <c r="B138" s="153"/>
      <c r="C138" s="153"/>
      <c r="D138" s="153"/>
      <c r="E138" s="153"/>
      <c r="F138" s="153"/>
      <c r="G138" s="153"/>
      <c r="H138" s="153"/>
      <c r="I138" s="153"/>
      <c r="J138" s="153"/>
    </row>
    <row r="139" spans="2:10">
      <c r="B139" s="153"/>
      <c r="C139" s="153"/>
      <c r="D139" s="153"/>
      <c r="E139" s="153"/>
      <c r="F139" s="153"/>
      <c r="G139" s="153"/>
      <c r="H139" s="153"/>
      <c r="I139" s="153"/>
      <c r="J139" s="153"/>
    </row>
    <row r="140" spans="2:10">
      <c r="B140" s="153"/>
      <c r="C140" s="153"/>
      <c r="D140" s="153"/>
      <c r="E140" s="153"/>
      <c r="F140" s="153"/>
      <c r="G140" s="153"/>
      <c r="H140" s="153"/>
      <c r="I140" s="153"/>
      <c r="J140" s="153"/>
    </row>
    <row r="141" spans="2:10">
      <c r="B141" s="153"/>
      <c r="C141" s="153"/>
      <c r="D141" s="153"/>
      <c r="E141" s="153"/>
      <c r="F141" s="153"/>
      <c r="G141" s="153"/>
      <c r="H141" s="153"/>
      <c r="I141" s="153"/>
      <c r="J141" s="153"/>
    </row>
    <row r="142" spans="2:10">
      <c r="B142" s="153"/>
      <c r="C142" s="153"/>
      <c r="D142" s="153"/>
      <c r="E142" s="153"/>
      <c r="F142" s="153"/>
      <c r="G142" s="153"/>
      <c r="H142" s="153"/>
      <c r="I142" s="153"/>
      <c r="J142" s="153"/>
    </row>
    <row r="143" spans="2:10">
      <c r="B143" s="153"/>
      <c r="C143" s="153"/>
      <c r="D143" s="153"/>
      <c r="E143" s="153"/>
      <c r="F143" s="153"/>
      <c r="G143" s="153"/>
      <c r="H143" s="153"/>
      <c r="I143" s="153"/>
      <c r="J143" s="153"/>
    </row>
    <row r="144" spans="2:10">
      <c r="B144" s="153"/>
      <c r="C144" s="153"/>
      <c r="D144" s="153"/>
      <c r="E144" s="153"/>
      <c r="F144" s="153"/>
      <c r="G144" s="153"/>
      <c r="H144" s="153"/>
      <c r="I144" s="153"/>
      <c r="J144" s="153"/>
    </row>
    <row r="145" spans="2:10">
      <c r="B145" s="153"/>
      <c r="C145" s="153"/>
      <c r="D145" s="153"/>
      <c r="E145" s="153"/>
      <c r="F145" s="153"/>
      <c r="G145" s="153"/>
      <c r="H145" s="153"/>
      <c r="I145" s="153"/>
      <c r="J145" s="153"/>
    </row>
    <row r="146" spans="2:10">
      <c r="B146" s="153"/>
      <c r="C146" s="153"/>
      <c r="D146" s="153"/>
      <c r="E146" s="153"/>
      <c r="F146" s="153"/>
      <c r="G146" s="153"/>
      <c r="H146" s="153"/>
      <c r="I146" s="153"/>
      <c r="J146" s="153"/>
    </row>
    <row r="147" spans="2:10">
      <c r="B147" s="153"/>
      <c r="C147" s="153"/>
      <c r="D147" s="153"/>
      <c r="E147" s="153"/>
      <c r="F147" s="153"/>
      <c r="G147" s="153"/>
      <c r="H147" s="153"/>
      <c r="I147" s="153"/>
      <c r="J147" s="153"/>
    </row>
    <row r="148" spans="2:10">
      <c r="B148" s="153"/>
      <c r="C148" s="153"/>
      <c r="D148" s="153"/>
      <c r="E148" s="153"/>
      <c r="F148" s="153"/>
      <c r="G148" s="153"/>
      <c r="H148" s="153"/>
      <c r="I148" s="153"/>
      <c r="J148" s="153"/>
    </row>
    <row r="149" spans="2:10">
      <c r="B149" s="153"/>
      <c r="C149" s="153"/>
      <c r="D149" s="153"/>
      <c r="E149" s="153"/>
      <c r="F149" s="153"/>
      <c r="G149" s="153"/>
      <c r="H149" s="153"/>
      <c r="I149" s="153"/>
      <c r="J149" s="153"/>
    </row>
    <row r="150" spans="2:10">
      <c r="B150" s="153"/>
      <c r="C150" s="153"/>
      <c r="D150" s="153"/>
      <c r="E150" s="153"/>
      <c r="F150" s="153"/>
      <c r="G150" s="153"/>
      <c r="H150" s="153"/>
      <c r="I150" s="153"/>
      <c r="J150" s="153"/>
    </row>
    <row r="151" spans="2:10">
      <c r="B151" s="153"/>
      <c r="C151" s="153"/>
      <c r="D151" s="153"/>
      <c r="E151" s="153"/>
      <c r="F151" s="153"/>
      <c r="G151" s="153"/>
      <c r="H151" s="153"/>
      <c r="I151" s="153"/>
      <c r="J151" s="153"/>
    </row>
    <row r="152" spans="2:10">
      <c r="B152" s="153"/>
      <c r="C152" s="153"/>
      <c r="D152" s="153"/>
      <c r="E152" s="153"/>
      <c r="F152" s="153"/>
      <c r="G152" s="153"/>
      <c r="H152" s="153"/>
      <c r="I152" s="153"/>
      <c r="J152" s="153"/>
    </row>
    <row r="153" spans="2:10">
      <c r="B153" s="153"/>
      <c r="C153" s="153"/>
      <c r="D153" s="153"/>
      <c r="E153" s="153"/>
      <c r="F153" s="153"/>
      <c r="G153" s="153"/>
      <c r="H153" s="153"/>
      <c r="I153" s="153"/>
      <c r="J153" s="153"/>
    </row>
    <row r="154" spans="2:10">
      <c r="B154" s="153"/>
      <c r="C154" s="153"/>
      <c r="D154" s="153"/>
      <c r="E154" s="153"/>
      <c r="F154" s="153"/>
      <c r="G154" s="153"/>
      <c r="H154" s="153"/>
      <c r="I154" s="153"/>
      <c r="J154" s="153"/>
    </row>
    <row r="155" spans="2:10">
      <c r="B155" s="153"/>
      <c r="C155" s="153"/>
      <c r="D155" s="153"/>
      <c r="E155" s="153"/>
      <c r="F155" s="153"/>
      <c r="G155" s="153"/>
      <c r="H155" s="153"/>
      <c r="I155" s="153"/>
      <c r="J155" s="153"/>
    </row>
    <row r="156" spans="2:10">
      <c r="B156" s="153"/>
      <c r="C156" s="153"/>
      <c r="D156" s="153"/>
      <c r="E156" s="153"/>
      <c r="F156" s="153"/>
      <c r="G156" s="153"/>
      <c r="H156" s="153"/>
      <c r="I156" s="153"/>
      <c r="J156" s="153"/>
    </row>
    <row r="157" spans="2:10">
      <c r="B157" s="153"/>
      <c r="C157" s="153"/>
      <c r="D157" s="153"/>
      <c r="E157" s="153"/>
      <c r="F157" s="153"/>
      <c r="G157" s="153"/>
      <c r="H157" s="153"/>
      <c r="I157" s="153"/>
      <c r="J157" s="153"/>
    </row>
    <row r="158" spans="2:10">
      <c r="B158" s="153"/>
      <c r="C158" s="153"/>
      <c r="D158" s="153"/>
      <c r="E158" s="153"/>
      <c r="F158" s="153"/>
      <c r="G158" s="153"/>
      <c r="H158" s="153"/>
      <c r="I158" s="153"/>
      <c r="J158" s="153"/>
    </row>
    <row r="159" spans="2:10">
      <c r="B159" s="153"/>
      <c r="C159" s="153"/>
      <c r="D159" s="153"/>
      <c r="E159" s="153"/>
      <c r="F159" s="153"/>
      <c r="G159" s="153"/>
      <c r="H159" s="153"/>
      <c r="I159" s="153"/>
      <c r="J159" s="153"/>
    </row>
    <row r="160" spans="2:10">
      <c r="B160" s="153"/>
      <c r="C160" s="153"/>
      <c r="D160" s="153"/>
      <c r="E160" s="153"/>
      <c r="F160" s="153"/>
      <c r="G160" s="153"/>
      <c r="H160" s="153"/>
      <c r="I160" s="153"/>
      <c r="J160" s="153"/>
    </row>
    <row r="161" spans="2:10">
      <c r="B161" s="153"/>
      <c r="C161" s="153"/>
      <c r="D161" s="153"/>
      <c r="E161" s="153"/>
      <c r="F161" s="153"/>
      <c r="G161" s="153"/>
      <c r="H161" s="153"/>
      <c r="I161" s="153"/>
      <c r="J161" s="153"/>
    </row>
    <row r="162" spans="2:10">
      <c r="B162" s="153"/>
      <c r="C162" s="153"/>
      <c r="D162" s="153"/>
      <c r="E162" s="153"/>
      <c r="F162" s="153"/>
      <c r="G162" s="153"/>
      <c r="H162" s="153"/>
      <c r="I162" s="153"/>
      <c r="J162" s="153"/>
    </row>
    <row r="163" spans="2:10">
      <c r="B163" s="153"/>
      <c r="C163" s="153"/>
      <c r="D163" s="153"/>
      <c r="E163" s="153"/>
      <c r="F163" s="153"/>
      <c r="G163" s="153"/>
      <c r="H163" s="153"/>
      <c r="I163" s="153"/>
      <c r="J163" s="153"/>
    </row>
    <row r="164" spans="2:10">
      <c r="B164" s="153"/>
      <c r="C164" s="153"/>
      <c r="D164" s="153"/>
      <c r="E164" s="153"/>
      <c r="F164" s="153"/>
      <c r="G164" s="153"/>
      <c r="H164" s="153"/>
      <c r="I164" s="153"/>
      <c r="J164" s="153"/>
    </row>
    <row r="165" spans="2:10">
      <c r="B165" s="153"/>
      <c r="C165" s="153"/>
      <c r="D165" s="153"/>
      <c r="E165" s="153"/>
      <c r="F165" s="153"/>
      <c r="G165" s="153"/>
      <c r="H165" s="153"/>
      <c r="I165" s="153"/>
      <c r="J165" s="153"/>
    </row>
    <row r="166" spans="2:10">
      <c r="B166" s="153"/>
      <c r="C166" s="153"/>
      <c r="D166" s="153"/>
      <c r="E166" s="153"/>
      <c r="F166" s="153"/>
      <c r="G166" s="153"/>
      <c r="H166" s="153"/>
      <c r="I166" s="153"/>
      <c r="J166" s="153"/>
    </row>
    <row r="167" spans="2:10">
      <c r="B167" s="153"/>
      <c r="C167" s="153"/>
      <c r="D167" s="153"/>
      <c r="E167" s="153"/>
      <c r="F167" s="153"/>
      <c r="G167" s="153"/>
      <c r="H167" s="153"/>
      <c r="I167" s="153"/>
      <c r="J167" s="153"/>
    </row>
    <row r="168" spans="2:10">
      <c r="B168" s="153"/>
      <c r="C168" s="153"/>
      <c r="D168" s="153"/>
      <c r="E168" s="153"/>
      <c r="F168" s="153"/>
      <c r="G168" s="153"/>
      <c r="H168" s="153"/>
      <c r="I168" s="153"/>
      <c r="J168" s="153"/>
    </row>
    <row r="169" spans="2:10">
      <c r="B169" s="153"/>
      <c r="C169" s="153"/>
      <c r="D169" s="153"/>
      <c r="E169" s="153"/>
      <c r="F169" s="153"/>
      <c r="G169" s="153"/>
      <c r="H169" s="153"/>
      <c r="I169" s="153"/>
      <c r="J169" s="153"/>
    </row>
    <row r="170" spans="2:10">
      <c r="B170" s="153"/>
      <c r="C170" s="153"/>
      <c r="D170" s="153"/>
      <c r="E170" s="153"/>
      <c r="F170" s="153"/>
      <c r="G170" s="153"/>
      <c r="H170" s="153"/>
      <c r="I170" s="153"/>
      <c r="J170" s="153"/>
    </row>
    <row r="171" spans="2:10">
      <c r="B171" s="153"/>
      <c r="C171" s="153"/>
      <c r="D171" s="153"/>
      <c r="E171" s="153"/>
      <c r="F171" s="153"/>
      <c r="G171" s="153"/>
      <c r="H171" s="153"/>
      <c r="I171" s="153"/>
      <c r="J171" s="153"/>
    </row>
    <row r="172" spans="2:10">
      <c r="B172" s="153"/>
      <c r="C172" s="153"/>
      <c r="D172" s="153"/>
      <c r="E172" s="153"/>
      <c r="F172" s="153"/>
      <c r="G172" s="153"/>
      <c r="H172" s="153"/>
      <c r="I172" s="153"/>
      <c r="J172" s="153"/>
    </row>
    <row r="173" spans="2:10">
      <c r="B173" s="153"/>
      <c r="C173" s="153"/>
      <c r="D173" s="153"/>
      <c r="E173" s="153"/>
      <c r="F173" s="153"/>
      <c r="G173" s="153"/>
      <c r="H173" s="153"/>
      <c r="I173" s="153"/>
      <c r="J173" s="153"/>
    </row>
    <row r="174" spans="2:10">
      <c r="B174" s="153"/>
      <c r="C174" s="153"/>
      <c r="D174" s="153"/>
      <c r="E174" s="153"/>
      <c r="F174" s="153"/>
      <c r="G174" s="153"/>
      <c r="H174" s="153"/>
      <c r="I174" s="153"/>
      <c r="J174" s="153"/>
    </row>
    <row r="175" spans="2:10">
      <c r="B175" s="153"/>
      <c r="C175" s="153"/>
      <c r="D175" s="153"/>
      <c r="E175" s="153"/>
      <c r="F175" s="153"/>
      <c r="G175" s="153"/>
      <c r="H175" s="153"/>
      <c r="I175" s="153"/>
      <c r="J175" s="153"/>
    </row>
    <row r="176" spans="2:10">
      <c r="B176" s="153"/>
      <c r="C176" s="153"/>
      <c r="D176" s="153"/>
      <c r="E176" s="153"/>
      <c r="F176" s="153"/>
      <c r="G176" s="153"/>
      <c r="H176" s="153"/>
      <c r="I176" s="153"/>
      <c r="J176" s="153"/>
    </row>
    <row r="177" spans="2:10">
      <c r="B177" s="153"/>
      <c r="C177" s="153"/>
      <c r="D177" s="153"/>
      <c r="E177" s="153"/>
      <c r="F177" s="153"/>
      <c r="G177" s="153"/>
      <c r="H177" s="153"/>
      <c r="I177" s="153"/>
      <c r="J177" s="153"/>
    </row>
    <row r="178" spans="2:10">
      <c r="B178" s="153"/>
      <c r="C178" s="153"/>
      <c r="D178" s="153"/>
      <c r="E178" s="153"/>
      <c r="F178" s="153"/>
      <c r="G178" s="153"/>
      <c r="H178" s="153"/>
      <c r="I178" s="153"/>
      <c r="J178" s="153"/>
    </row>
    <row r="179" spans="2:10">
      <c r="B179" s="153"/>
      <c r="C179" s="153"/>
      <c r="D179" s="153"/>
      <c r="E179" s="153"/>
      <c r="F179" s="153"/>
      <c r="G179" s="153"/>
      <c r="H179" s="153"/>
      <c r="I179" s="153"/>
      <c r="J179" s="153"/>
    </row>
    <row r="180" spans="2:10">
      <c r="B180" s="153"/>
      <c r="C180" s="153"/>
      <c r="D180" s="153"/>
      <c r="E180" s="153"/>
      <c r="F180" s="153"/>
      <c r="G180" s="153"/>
      <c r="H180" s="153"/>
      <c r="I180" s="153"/>
      <c r="J180" s="153"/>
    </row>
    <row r="181" spans="2:10">
      <c r="B181" s="153"/>
      <c r="C181" s="153"/>
      <c r="D181" s="153"/>
      <c r="E181" s="153"/>
      <c r="F181" s="153"/>
      <c r="G181" s="153"/>
      <c r="H181" s="153"/>
      <c r="I181" s="153"/>
      <c r="J181" s="153"/>
    </row>
    <row r="182" spans="2:10">
      <c r="B182" s="153"/>
      <c r="C182" s="153"/>
      <c r="D182" s="153"/>
      <c r="E182" s="153"/>
      <c r="F182" s="153"/>
      <c r="G182" s="153"/>
      <c r="H182" s="153"/>
      <c r="I182" s="153"/>
      <c r="J182" s="153"/>
    </row>
    <row r="183" spans="2:10">
      <c r="B183" s="153"/>
      <c r="C183" s="153"/>
      <c r="D183" s="153"/>
      <c r="E183" s="153"/>
      <c r="F183" s="153"/>
      <c r="G183" s="153"/>
      <c r="H183" s="153"/>
      <c r="I183" s="153"/>
      <c r="J183" s="153"/>
    </row>
    <row r="184" spans="2:10">
      <c r="B184" s="153"/>
      <c r="C184" s="153"/>
      <c r="D184" s="153"/>
      <c r="E184" s="153"/>
      <c r="F184" s="153"/>
      <c r="G184" s="153"/>
      <c r="H184" s="153"/>
      <c r="I184" s="153"/>
      <c r="J184" s="153"/>
    </row>
    <row r="185" spans="2:10">
      <c r="B185" s="153"/>
      <c r="C185" s="153"/>
      <c r="D185" s="153"/>
      <c r="E185" s="153"/>
      <c r="F185" s="153"/>
      <c r="G185" s="153"/>
      <c r="H185" s="153"/>
      <c r="I185" s="153"/>
      <c r="J185" s="153"/>
    </row>
    <row r="186" spans="2:10">
      <c r="B186" s="153"/>
      <c r="C186" s="153"/>
      <c r="D186" s="153"/>
      <c r="E186" s="153"/>
      <c r="F186" s="153"/>
      <c r="G186" s="153"/>
      <c r="H186" s="153"/>
      <c r="I186" s="153"/>
      <c r="J186" s="153"/>
    </row>
    <row r="187" spans="2:10">
      <c r="B187" s="153"/>
      <c r="C187" s="153"/>
      <c r="D187" s="153"/>
      <c r="E187" s="153"/>
      <c r="F187" s="153"/>
      <c r="G187" s="153"/>
      <c r="H187" s="153"/>
      <c r="I187" s="153"/>
      <c r="J187" s="153"/>
    </row>
    <row r="188" spans="2:10">
      <c r="B188" s="153"/>
      <c r="C188" s="153"/>
      <c r="D188" s="153"/>
      <c r="E188" s="153"/>
      <c r="F188" s="153"/>
      <c r="G188" s="153"/>
      <c r="H188" s="153"/>
      <c r="I188" s="153"/>
      <c r="J188" s="153"/>
    </row>
    <row r="189" spans="2:10">
      <c r="B189" s="153"/>
      <c r="C189" s="153"/>
      <c r="D189" s="153"/>
      <c r="E189" s="153"/>
      <c r="F189" s="153"/>
      <c r="G189" s="153"/>
      <c r="H189" s="153"/>
      <c r="I189" s="153"/>
      <c r="J189" s="153"/>
    </row>
    <row r="190" spans="2:10">
      <c r="B190" s="153"/>
      <c r="C190" s="153"/>
      <c r="D190" s="153"/>
      <c r="E190" s="153"/>
      <c r="F190" s="153"/>
      <c r="G190" s="153"/>
      <c r="H190" s="153"/>
      <c r="I190" s="153"/>
      <c r="J190" s="153"/>
    </row>
    <row r="191" spans="2:10">
      <c r="B191" s="153"/>
      <c r="C191" s="153"/>
      <c r="D191" s="153"/>
      <c r="E191" s="153"/>
      <c r="F191" s="153"/>
      <c r="G191" s="153"/>
      <c r="H191" s="153"/>
      <c r="I191" s="153"/>
      <c r="J191" s="153"/>
    </row>
    <row r="192" spans="2:10">
      <c r="B192" s="153"/>
      <c r="C192" s="153"/>
      <c r="D192" s="153"/>
      <c r="E192" s="153"/>
      <c r="F192" s="153"/>
      <c r="G192" s="153"/>
      <c r="H192" s="153"/>
      <c r="I192" s="153"/>
      <c r="J192" s="153"/>
    </row>
    <row r="193" spans="2:10">
      <c r="B193" s="153"/>
      <c r="C193" s="153"/>
      <c r="D193" s="153"/>
      <c r="E193" s="153"/>
      <c r="F193" s="153"/>
      <c r="G193" s="153"/>
      <c r="H193" s="153"/>
      <c r="I193" s="153"/>
      <c r="J193" s="153"/>
    </row>
    <row r="194" spans="2:10">
      <c r="B194" s="153"/>
      <c r="C194" s="153"/>
      <c r="D194" s="153"/>
      <c r="E194" s="153"/>
      <c r="F194" s="153"/>
      <c r="G194" s="153"/>
      <c r="H194" s="153"/>
      <c r="I194" s="153"/>
      <c r="J194" s="153"/>
    </row>
    <row r="195" spans="2:10">
      <c r="B195" s="153"/>
      <c r="C195" s="153"/>
      <c r="D195" s="153"/>
      <c r="E195" s="153"/>
      <c r="F195" s="153"/>
      <c r="G195" s="153"/>
      <c r="H195" s="153"/>
      <c r="I195" s="153"/>
      <c r="J195" s="153"/>
    </row>
    <row r="196" spans="2:10">
      <c r="B196" s="153"/>
      <c r="C196" s="153"/>
      <c r="D196" s="153"/>
      <c r="E196" s="153"/>
      <c r="F196" s="153"/>
      <c r="G196" s="153"/>
      <c r="H196" s="153"/>
      <c r="I196" s="153"/>
      <c r="J196" s="153"/>
    </row>
    <row r="197" spans="2:10">
      <c r="B197" s="153"/>
      <c r="C197" s="153"/>
      <c r="D197" s="153"/>
      <c r="E197" s="153"/>
      <c r="F197" s="153"/>
      <c r="G197" s="153"/>
      <c r="H197" s="153"/>
      <c r="I197" s="153"/>
      <c r="J197" s="153"/>
    </row>
    <row r="198" spans="2:10">
      <c r="B198" s="153"/>
      <c r="C198" s="153"/>
      <c r="D198" s="153"/>
      <c r="E198" s="153"/>
      <c r="F198" s="153"/>
      <c r="G198" s="153"/>
      <c r="H198" s="153"/>
      <c r="I198" s="153"/>
      <c r="J198" s="153"/>
    </row>
    <row r="199" spans="2:10">
      <c r="B199" s="153"/>
      <c r="C199" s="153"/>
      <c r="D199" s="153"/>
      <c r="E199" s="153"/>
      <c r="F199" s="153"/>
      <c r="G199" s="153"/>
      <c r="H199" s="153"/>
      <c r="I199" s="153"/>
      <c r="J199" s="153"/>
    </row>
    <row r="200" spans="2:10">
      <c r="B200" s="153"/>
      <c r="C200" s="153"/>
      <c r="D200" s="153"/>
      <c r="E200" s="153"/>
      <c r="F200" s="153"/>
      <c r="G200" s="153"/>
      <c r="H200" s="153"/>
      <c r="I200" s="153"/>
      <c r="J200" s="153"/>
    </row>
    <row r="201" spans="2:10">
      <c r="B201" s="153"/>
      <c r="C201" s="153"/>
      <c r="D201" s="153"/>
      <c r="E201" s="153"/>
      <c r="F201" s="153"/>
      <c r="G201" s="153"/>
      <c r="H201" s="153"/>
      <c r="I201" s="153"/>
      <c r="J201" s="153"/>
    </row>
    <row r="202" spans="2:10">
      <c r="B202" s="153"/>
      <c r="C202" s="153"/>
      <c r="D202" s="153"/>
      <c r="E202" s="153"/>
      <c r="F202" s="153"/>
      <c r="G202" s="153"/>
      <c r="H202" s="153"/>
      <c r="I202" s="153"/>
      <c r="J202" s="153"/>
    </row>
    <row r="203" spans="2:10">
      <c r="B203" s="153"/>
      <c r="C203" s="153"/>
      <c r="D203" s="153"/>
      <c r="E203" s="153"/>
      <c r="F203" s="153"/>
      <c r="G203" s="153"/>
      <c r="H203" s="153"/>
      <c r="I203" s="153"/>
      <c r="J203" s="153"/>
    </row>
    <row r="204" spans="2:10">
      <c r="B204" s="153"/>
      <c r="C204" s="153"/>
      <c r="D204" s="153"/>
      <c r="E204" s="153"/>
      <c r="F204" s="153"/>
      <c r="G204" s="153"/>
      <c r="H204" s="153"/>
      <c r="I204" s="153"/>
      <c r="J204" s="153"/>
    </row>
    <row r="205" spans="2:10">
      <c r="B205" s="153"/>
      <c r="C205" s="153"/>
      <c r="D205" s="153"/>
      <c r="E205" s="153"/>
      <c r="F205" s="153"/>
      <c r="G205" s="153"/>
      <c r="H205" s="153"/>
      <c r="I205" s="153"/>
      <c r="J205" s="153"/>
    </row>
    <row r="206" spans="2:10">
      <c r="B206" s="153"/>
      <c r="C206" s="153"/>
      <c r="D206" s="153"/>
      <c r="E206" s="153"/>
      <c r="F206" s="153"/>
      <c r="G206" s="153"/>
      <c r="H206" s="153"/>
      <c r="I206" s="153"/>
      <c r="J206" s="153"/>
    </row>
    <row r="207" spans="2:10">
      <c r="B207" s="153"/>
      <c r="C207" s="153"/>
      <c r="D207" s="153"/>
      <c r="E207" s="153"/>
      <c r="F207" s="153"/>
      <c r="G207" s="153"/>
      <c r="H207" s="153"/>
      <c r="I207" s="153"/>
      <c r="J207" s="153"/>
    </row>
    <row r="208" spans="2:10">
      <c r="B208" s="153"/>
      <c r="C208" s="153"/>
      <c r="D208" s="153"/>
      <c r="E208" s="153"/>
      <c r="F208" s="153"/>
      <c r="G208" s="153"/>
      <c r="H208" s="153"/>
      <c r="I208" s="153"/>
      <c r="J208" s="153"/>
    </row>
    <row r="209" spans="2:10">
      <c r="B209" s="153"/>
      <c r="C209" s="153"/>
      <c r="D209" s="153"/>
      <c r="E209" s="153"/>
      <c r="F209" s="153"/>
      <c r="G209" s="153"/>
      <c r="H209" s="153"/>
      <c r="I209" s="153"/>
      <c r="J209" s="153"/>
    </row>
    <row r="210" spans="2:10">
      <c r="B210" s="153"/>
      <c r="C210" s="153"/>
      <c r="D210" s="153"/>
      <c r="E210" s="153"/>
      <c r="F210" s="153"/>
      <c r="G210" s="153"/>
      <c r="H210" s="153"/>
      <c r="I210" s="153"/>
      <c r="J210" s="153"/>
    </row>
    <row r="211" spans="2:10">
      <c r="B211" s="153"/>
      <c r="C211" s="153"/>
      <c r="D211" s="153"/>
      <c r="E211" s="153"/>
      <c r="F211" s="153"/>
      <c r="G211" s="153"/>
      <c r="H211" s="153"/>
      <c r="I211" s="153"/>
      <c r="J211" s="153"/>
    </row>
    <row r="212" spans="2:10">
      <c r="B212" s="153"/>
      <c r="C212" s="153"/>
      <c r="D212" s="153"/>
      <c r="E212" s="153"/>
      <c r="F212" s="153"/>
      <c r="G212" s="153"/>
      <c r="H212" s="153"/>
      <c r="I212" s="153"/>
      <c r="J212" s="153"/>
    </row>
    <row r="213" spans="2:10">
      <c r="B213" s="153"/>
      <c r="C213" s="153"/>
      <c r="D213" s="153"/>
      <c r="E213" s="153"/>
      <c r="F213" s="153"/>
      <c r="G213" s="153"/>
      <c r="H213" s="153"/>
      <c r="I213" s="153"/>
      <c r="J213" s="153"/>
    </row>
    <row r="214" spans="2:10">
      <c r="B214" s="153"/>
      <c r="C214" s="153"/>
      <c r="D214" s="153"/>
      <c r="E214" s="153"/>
      <c r="F214" s="153"/>
      <c r="G214" s="153"/>
      <c r="H214" s="153"/>
      <c r="I214" s="153"/>
      <c r="J214" s="153"/>
    </row>
    <row r="215" spans="2:10">
      <c r="B215" s="153"/>
      <c r="C215" s="153"/>
      <c r="D215" s="153"/>
      <c r="E215" s="153"/>
      <c r="F215" s="153"/>
      <c r="G215" s="153"/>
      <c r="H215" s="153"/>
      <c r="I215" s="153"/>
      <c r="J215" s="153"/>
    </row>
    <row r="216" spans="2:10">
      <c r="B216" s="153"/>
      <c r="C216" s="153"/>
      <c r="D216" s="153"/>
      <c r="E216" s="153"/>
      <c r="F216" s="153"/>
      <c r="G216" s="153"/>
      <c r="H216" s="153"/>
      <c r="I216" s="153"/>
      <c r="J216" s="153"/>
    </row>
    <row r="217" spans="2:10">
      <c r="B217" s="153"/>
      <c r="C217" s="153"/>
      <c r="D217" s="153"/>
      <c r="E217" s="153"/>
      <c r="F217" s="153"/>
      <c r="G217" s="153"/>
      <c r="H217" s="153"/>
      <c r="I217" s="153"/>
      <c r="J217" s="153"/>
    </row>
    <row r="218" spans="2:10">
      <c r="B218" s="153"/>
      <c r="C218" s="153"/>
      <c r="D218" s="153"/>
      <c r="E218" s="153"/>
      <c r="F218" s="153"/>
      <c r="G218" s="153"/>
      <c r="H218" s="153"/>
      <c r="I218" s="153"/>
      <c r="J218" s="153"/>
    </row>
    <row r="219" spans="2:10">
      <c r="B219" s="153"/>
      <c r="C219" s="153"/>
      <c r="D219" s="153"/>
      <c r="E219" s="153"/>
      <c r="F219" s="153"/>
      <c r="G219" s="153"/>
      <c r="H219" s="153"/>
      <c r="I219" s="153"/>
      <c r="J219" s="153"/>
    </row>
    <row r="220" spans="2:10">
      <c r="B220" s="153"/>
      <c r="C220" s="153"/>
      <c r="D220" s="153"/>
      <c r="E220" s="153"/>
      <c r="F220" s="153"/>
      <c r="G220" s="153"/>
      <c r="H220" s="153"/>
      <c r="I220" s="153"/>
      <c r="J220" s="153"/>
    </row>
    <row r="221" spans="2:10">
      <c r="B221" s="153"/>
      <c r="C221" s="153"/>
      <c r="D221" s="153"/>
      <c r="E221" s="153"/>
      <c r="F221" s="153"/>
      <c r="G221" s="153"/>
      <c r="H221" s="153"/>
      <c r="I221" s="153"/>
      <c r="J221" s="153"/>
    </row>
    <row r="222" spans="2:10">
      <c r="B222" s="153"/>
      <c r="C222" s="153"/>
      <c r="D222" s="153"/>
      <c r="E222" s="153"/>
      <c r="F222" s="153"/>
      <c r="G222" s="153"/>
      <c r="H222" s="153"/>
      <c r="I222" s="153"/>
      <c r="J222" s="153"/>
    </row>
    <row r="223" spans="2:10">
      <c r="B223" s="153"/>
      <c r="C223" s="153"/>
      <c r="D223" s="153"/>
      <c r="E223" s="153"/>
      <c r="F223" s="153"/>
      <c r="G223" s="153"/>
      <c r="H223" s="153"/>
      <c r="I223" s="153"/>
      <c r="J223" s="153"/>
    </row>
    <row r="224" spans="2:10">
      <c r="B224" s="153"/>
      <c r="C224" s="153"/>
      <c r="D224" s="153"/>
      <c r="E224" s="153"/>
      <c r="F224" s="153"/>
      <c r="G224" s="153"/>
      <c r="H224" s="153"/>
      <c r="I224" s="153"/>
      <c r="J224" s="153"/>
    </row>
    <row r="225" spans="2:10">
      <c r="B225" s="153"/>
      <c r="C225" s="153"/>
      <c r="D225" s="153"/>
      <c r="E225" s="153"/>
      <c r="F225" s="153"/>
      <c r="G225" s="153"/>
      <c r="H225" s="153"/>
      <c r="I225" s="153"/>
      <c r="J225" s="153"/>
    </row>
    <row r="226" spans="2:10">
      <c r="B226" s="153"/>
      <c r="C226" s="153"/>
      <c r="D226" s="153"/>
      <c r="E226" s="153"/>
      <c r="F226" s="153"/>
      <c r="G226" s="153"/>
      <c r="H226" s="153"/>
      <c r="I226" s="153"/>
      <c r="J226" s="153"/>
    </row>
    <row r="227" spans="2:10">
      <c r="B227" s="153"/>
      <c r="C227" s="153"/>
      <c r="D227" s="153"/>
      <c r="E227" s="153"/>
      <c r="F227" s="153"/>
      <c r="G227" s="153"/>
      <c r="H227" s="153"/>
      <c r="I227" s="153"/>
      <c r="J227" s="153"/>
    </row>
    <row r="228" spans="2:10">
      <c r="B228" s="153"/>
      <c r="C228" s="153"/>
      <c r="D228" s="153"/>
      <c r="E228" s="153"/>
      <c r="F228" s="153"/>
      <c r="G228" s="153"/>
      <c r="H228" s="153"/>
      <c r="I228" s="153"/>
      <c r="J228" s="153"/>
    </row>
    <row r="229" spans="2:10">
      <c r="B229" s="153"/>
      <c r="C229" s="153"/>
      <c r="D229" s="153"/>
      <c r="E229" s="153"/>
      <c r="F229" s="153"/>
      <c r="G229" s="153"/>
      <c r="H229" s="153"/>
      <c r="I229" s="153"/>
      <c r="J229" s="153"/>
    </row>
    <row r="230" spans="2:10">
      <c r="B230" s="153"/>
      <c r="C230" s="153"/>
      <c r="D230" s="153"/>
      <c r="E230" s="153"/>
      <c r="F230" s="153"/>
      <c r="G230" s="153"/>
      <c r="H230" s="153"/>
      <c r="I230" s="153"/>
      <c r="J230" s="153"/>
    </row>
    <row r="231" spans="2:10">
      <c r="B231" s="153"/>
      <c r="C231" s="153"/>
      <c r="D231" s="153"/>
      <c r="E231" s="153"/>
      <c r="F231" s="153"/>
      <c r="G231" s="153"/>
      <c r="H231" s="153"/>
      <c r="I231" s="153"/>
      <c r="J231" s="153"/>
    </row>
    <row r="232" spans="2:10">
      <c r="B232" s="153"/>
      <c r="C232" s="153"/>
      <c r="D232" s="153"/>
      <c r="E232" s="153"/>
      <c r="F232" s="153"/>
      <c r="G232" s="153"/>
      <c r="H232" s="153"/>
      <c r="I232" s="153"/>
      <c r="J232" s="153"/>
    </row>
    <row r="233" spans="2:10">
      <c r="B233" s="153"/>
      <c r="C233" s="153"/>
      <c r="D233" s="153"/>
      <c r="E233" s="153"/>
      <c r="F233" s="153"/>
      <c r="G233" s="153"/>
      <c r="H233" s="153"/>
      <c r="I233" s="153"/>
      <c r="J233" s="153"/>
    </row>
    <row r="234" spans="2:10">
      <c r="B234" s="153"/>
      <c r="C234" s="153"/>
      <c r="D234" s="153"/>
      <c r="E234" s="153"/>
      <c r="F234" s="153"/>
      <c r="G234" s="153"/>
      <c r="H234" s="153"/>
      <c r="I234" s="153"/>
      <c r="J234" s="153"/>
    </row>
    <row r="235" spans="2:10">
      <c r="B235" s="153"/>
      <c r="C235" s="153"/>
      <c r="D235" s="153"/>
      <c r="E235" s="153"/>
      <c r="F235" s="153"/>
      <c r="G235" s="153"/>
      <c r="H235" s="153"/>
      <c r="I235" s="153"/>
      <c r="J235" s="153"/>
    </row>
    <row r="236" spans="2:10">
      <c r="B236" s="153"/>
      <c r="C236" s="153"/>
      <c r="D236" s="153"/>
      <c r="E236" s="153"/>
      <c r="F236" s="153"/>
      <c r="G236" s="153"/>
      <c r="H236" s="153"/>
      <c r="I236" s="153"/>
      <c r="J236" s="153"/>
    </row>
    <row r="237" spans="2:10">
      <c r="B237" s="153"/>
      <c r="C237" s="153"/>
      <c r="D237" s="153"/>
      <c r="E237" s="153"/>
      <c r="F237" s="153"/>
      <c r="G237" s="153"/>
      <c r="H237" s="153"/>
      <c r="I237" s="153"/>
      <c r="J237" s="153"/>
    </row>
    <row r="238" spans="2:10">
      <c r="B238" s="153"/>
      <c r="C238" s="153"/>
      <c r="D238" s="153"/>
      <c r="E238" s="153"/>
      <c r="F238" s="153"/>
      <c r="G238" s="153"/>
      <c r="H238" s="153"/>
      <c r="I238" s="153"/>
      <c r="J238" s="153"/>
    </row>
    <row r="239" spans="2:10">
      <c r="B239" s="153"/>
      <c r="C239" s="153"/>
      <c r="D239" s="153"/>
      <c r="E239" s="153"/>
      <c r="F239" s="153"/>
      <c r="G239" s="153"/>
      <c r="H239" s="153"/>
      <c r="I239" s="153"/>
      <c r="J239" s="153"/>
    </row>
    <row r="240" spans="2:10">
      <c r="B240" s="153"/>
      <c r="C240" s="153"/>
      <c r="D240" s="153"/>
      <c r="E240" s="153"/>
      <c r="F240" s="153"/>
      <c r="G240" s="153"/>
      <c r="H240" s="153"/>
      <c r="I240" s="153"/>
      <c r="J240" s="153"/>
    </row>
    <row r="241" spans="2:10">
      <c r="B241" s="153"/>
      <c r="C241" s="153"/>
      <c r="D241" s="153"/>
      <c r="E241" s="153"/>
      <c r="F241" s="153"/>
      <c r="G241" s="153"/>
      <c r="H241" s="153"/>
      <c r="I241" s="153"/>
      <c r="J241" s="153"/>
    </row>
    <row r="242" spans="2:10">
      <c r="B242" s="153"/>
      <c r="C242" s="153"/>
      <c r="D242" s="153"/>
      <c r="E242" s="153"/>
      <c r="F242" s="153"/>
      <c r="G242" s="153"/>
      <c r="H242" s="153"/>
      <c r="I242" s="153"/>
      <c r="J242" s="153"/>
    </row>
    <row r="243" spans="2:10">
      <c r="B243" s="153"/>
      <c r="C243" s="153"/>
      <c r="D243" s="153"/>
      <c r="E243" s="153"/>
      <c r="F243" s="153"/>
      <c r="G243" s="153"/>
      <c r="H243" s="153"/>
      <c r="I243" s="153"/>
      <c r="J243" s="153"/>
    </row>
    <row r="244" spans="2:10">
      <c r="B244" s="153"/>
      <c r="C244" s="153"/>
      <c r="D244" s="153"/>
      <c r="E244" s="153"/>
      <c r="F244" s="153"/>
      <c r="G244" s="153"/>
      <c r="H244" s="153"/>
      <c r="I244" s="153"/>
      <c r="J244" s="153"/>
    </row>
    <row r="245" spans="2:10">
      <c r="B245" s="153"/>
      <c r="C245" s="153"/>
      <c r="D245" s="153"/>
      <c r="E245" s="153"/>
      <c r="F245" s="153"/>
      <c r="G245" s="153"/>
      <c r="H245" s="153"/>
      <c r="I245" s="153"/>
      <c r="J245" s="153"/>
    </row>
    <row r="246" spans="2:10">
      <c r="B246" s="153"/>
      <c r="C246" s="153"/>
      <c r="D246" s="153"/>
      <c r="E246" s="153"/>
      <c r="F246" s="153"/>
      <c r="G246" s="153"/>
      <c r="H246" s="153"/>
      <c r="I246" s="153"/>
      <c r="J246" s="153"/>
    </row>
    <row r="247" spans="2:10">
      <c r="B247" s="153"/>
      <c r="C247" s="153"/>
      <c r="D247" s="153"/>
      <c r="E247" s="153"/>
      <c r="F247" s="153"/>
      <c r="G247" s="153"/>
      <c r="H247" s="153"/>
      <c r="I247" s="153"/>
      <c r="J247" s="153"/>
    </row>
    <row r="248" spans="2:10">
      <c r="B248" s="153"/>
      <c r="C248" s="153"/>
      <c r="D248" s="153"/>
      <c r="E248" s="153"/>
      <c r="F248" s="153"/>
      <c r="G248" s="153"/>
      <c r="H248" s="153"/>
      <c r="I248" s="153"/>
      <c r="J248" s="153"/>
    </row>
    <row r="249" spans="2:10">
      <c r="B249" s="153"/>
      <c r="C249" s="153"/>
      <c r="D249" s="153"/>
      <c r="E249" s="153"/>
      <c r="F249" s="153"/>
      <c r="G249" s="153"/>
      <c r="H249" s="153"/>
      <c r="I249" s="153"/>
      <c r="J249" s="153"/>
    </row>
    <row r="250" spans="2:10">
      <c r="B250" s="153"/>
      <c r="C250" s="153"/>
      <c r="D250" s="153"/>
      <c r="E250" s="153"/>
      <c r="F250" s="153"/>
      <c r="G250" s="153"/>
      <c r="H250" s="153"/>
      <c r="I250" s="153"/>
      <c r="J250" s="153"/>
    </row>
    <row r="251" spans="2:10">
      <c r="B251" s="153"/>
      <c r="C251" s="153"/>
      <c r="D251" s="153"/>
      <c r="E251" s="153"/>
      <c r="F251" s="153"/>
      <c r="G251" s="153"/>
      <c r="H251" s="153"/>
      <c r="I251" s="153"/>
      <c r="J251" s="153"/>
    </row>
    <row r="252" spans="2:10">
      <c r="B252" s="153"/>
      <c r="C252" s="153"/>
      <c r="D252" s="153"/>
      <c r="E252" s="153"/>
      <c r="F252" s="153"/>
      <c r="G252" s="153"/>
      <c r="H252" s="153"/>
      <c r="I252" s="153"/>
      <c r="J252" s="153"/>
    </row>
    <row r="253" spans="2:10">
      <c r="B253" s="153"/>
      <c r="C253" s="153"/>
      <c r="D253" s="153"/>
      <c r="E253" s="153"/>
      <c r="F253" s="153"/>
      <c r="G253" s="153"/>
      <c r="H253" s="153"/>
      <c r="I253" s="153"/>
      <c r="J253" s="153"/>
    </row>
    <row r="254" spans="2:10">
      <c r="B254" s="153"/>
      <c r="C254" s="153"/>
      <c r="D254" s="153"/>
      <c r="E254" s="153"/>
      <c r="F254" s="153"/>
      <c r="G254" s="153"/>
      <c r="H254" s="153"/>
      <c r="I254" s="153"/>
      <c r="J254" s="153"/>
    </row>
    <row r="255" spans="2:10">
      <c r="B255" s="153"/>
      <c r="C255" s="153"/>
      <c r="D255" s="153"/>
      <c r="E255" s="153"/>
      <c r="F255" s="153"/>
      <c r="G255" s="153"/>
      <c r="H255" s="153"/>
      <c r="I255" s="153"/>
      <c r="J255" s="153"/>
    </row>
    <row r="256" spans="2:10">
      <c r="B256" s="153"/>
      <c r="C256" s="153"/>
      <c r="D256" s="153"/>
      <c r="E256" s="153"/>
      <c r="F256" s="153"/>
      <c r="G256" s="153"/>
      <c r="H256" s="153"/>
      <c r="I256" s="153"/>
      <c r="J256" s="153"/>
    </row>
    <row r="257" spans="2:10">
      <c r="B257" s="153"/>
      <c r="C257" s="153"/>
      <c r="D257" s="153"/>
      <c r="E257" s="153"/>
      <c r="F257" s="153"/>
      <c r="G257" s="153"/>
      <c r="H257" s="153"/>
      <c r="I257" s="153"/>
      <c r="J257" s="153"/>
    </row>
    <row r="258" spans="2:10">
      <c r="B258" s="153"/>
      <c r="C258" s="153"/>
      <c r="D258" s="153"/>
      <c r="E258" s="153"/>
      <c r="F258" s="153"/>
      <c r="G258" s="153"/>
      <c r="H258" s="153"/>
      <c r="I258" s="153"/>
      <c r="J258" s="153"/>
    </row>
    <row r="259" spans="2:10">
      <c r="B259" s="153"/>
      <c r="C259" s="153"/>
      <c r="D259" s="153"/>
      <c r="E259" s="153"/>
      <c r="F259" s="153"/>
      <c r="G259" s="153"/>
      <c r="H259" s="153"/>
      <c r="I259" s="153"/>
      <c r="J259" s="153"/>
    </row>
    <row r="260" spans="2:10">
      <c r="B260" s="153"/>
      <c r="C260" s="153"/>
      <c r="D260" s="153"/>
      <c r="E260" s="153"/>
      <c r="F260" s="153"/>
      <c r="G260" s="153"/>
      <c r="H260" s="153"/>
      <c r="I260" s="153"/>
      <c r="J260" s="153"/>
    </row>
    <row r="261" spans="2:10">
      <c r="B261" s="153"/>
      <c r="C261" s="153"/>
      <c r="D261" s="153"/>
      <c r="E261" s="153"/>
      <c r="F261" s="153"/>
      <c r="G261" s="153"/>
      <c r="H261" s="153"/>
      <c r="I261" s="153"/>
      <c r="J261" s="153"/>
    </row>
    <row r="262" spans="2:10">
      <c r="B262" s="153"/>
      <c r="C262" s="153"/>
      <c r="D262" s="153"/>
      <c r="E262" s="153"/>
      <c r="F262" s="153"/>
      <c r="G262" s="153"/>
      <c r="H262" s="153"/>
      <c r="I262" s="153"/>
      <c r="J262" s="153"/>
    </row>
    <row r="263" spans="2:10">
      <c r="B263" s="153"/>
      <c r="C263" s="153"/>
      <c r="D263" s="153"/>
      <c r="E263" s="153"/>
      <c r="F263" s="153"/>
      <c r="G263" s="153"/>
      <c r="H263" s="153"/>
      <c r="I263" s="153"/>
      <c r="J263" s="153"/>
    </row>
    <row r="264" spans="2:10">
      <c r="B264" s="153"/>
      <c r="C264" s="153"/>
      <c r="D264" s="153"/>
      <c r="E264" s="153"/>
      <c r="F264" s="153"/>
      <c r="G264" s="153"/>
      <c r="H264" s="153"/>
      <c r="I264" s="153"/>
      <c r="J264" s="153"/>
    </row>
    <row r="265" spans="2:10">
      <c r="B265" s="153"/>
      <c r="C265" s="153"/>
      <c r="D265" s="153"/>
      <c r="E265" s="153"/>
      <c r="F265" s="153"/>
      <c r="G265" s="153"/>
      <c r="H265" s="153"/>
      <c r="I265" s="153"/>
      <c r="J265" s="153"/>
    </row>
    <row r="266" spans="2:10">
      <c r="B266" s="153"/>
      <c r="C266" s="153"/>
      <c r="D266" s="153"/>
      <c r="E266" s="153"/>
      <c r="F266" s="153"/>
      <c r="G266" s="153"/>
      <c r="H266" s="153"/>
      <c r="I266" s="153"/>
      <c r="J266" s="153"/>
    </row>
    <row r="267" spans="2:10">
      <c r="B267" s="153"/>
      <c r="C267" s="153"/>
      <c r="D267" s="153"/>
      <c r="E267" s="153"/>
      <c r="F267" s="153"/>
      <c r="G267" s="153"/>
      <c r="H267" s="153"/>
      <c r="I267" s="153"/>
      <c r="J267" s="153"/>
    </row>
    <row r="268" spans="2:10">
      <c r="B268" s="153"/>
      <c r="C268" s="153"/>
      <c r="D268" s="153"/>
      <c r="E268" s="153"/>
      <c r="F268" s="153"/>
      <c r="G268" s="153"/>
      <c r="H268" s="153"/>
      <c r="I268" s="153"/>
      <c r="J268" s="153"/>
    </row>
    <row r="269" spans="2:10">
      <c r="B269" s="153"/>
      <c r="C269" s="153"/>
      <c r="D269" s="153"/>
      <c r="E269" s="153"/>
      <c r="F269" s="153"/>
      <c r="G269" s="153"/>
      <c r="H269" s="153"/>
      <c r="I269" s="153"/>
      <c r="J269" s="153"/>
    </row>
    <row r="270" spans="2:10">
      <c r="B270" s="153"/>
      <c r="C270" s="153"/>
      <c r="D270" s="153"/>
      <c r="E270" s="153"/>
      <c r="F270" s="153"/>
      <c r="G270" s="153"/>
      <c r="H270" s="153"/>
      <c r="I270" s="153"/>
      <c r="J270" s="153"/>
    </row>
    <row r="271" spans="2:10">
      <c r="B271" s="153"/>
      <c r="C271" s="153"/>
      <c r="D271" s="153"/>
      <c r="E271" s="153"/>
      <c r="F271" s="153"/>
      <c r="G271" s="153"/>
      <c r="H271" s="153"/>
      <c r="I271" s="153"/>
      <c r="J271" s="153"/>
    </row>
    <row r="272" spans="2:10">
      <c r="B272" s="153"/>
      <c r="C272" s="153"/>
      <c r="D272" s="153"/>
      <c r="E272" s="153"/>
      <c r="F272" s="153"/>
      <c r="G272" s="153"/>
      <c r="H272" s="153"/>
      <c r="I272" s="153"/>
      <c r="J272" s="153"/>
    </row>
    <row r="273" spans="2:10">
      <c r="B273" s="153"/>
      <c r="C273" s="153"/>
      <c r="D273" s="153"/>
      <c r="E273" s="153"/>
      <c r="F273" s="153"/>
      <c r="G273" s="153"/>
      <c r="H273" s="153"/>
      <c r="I273" s="153"/>
      <c r="J273" s="153"/>
    </row>
    <row r="274" spans="2:10">
      <c r="B274" s="153"/>
      <c r="C274" s="153"/>
      <c r="D274" s="153"/>
      <c r="E274" s="153"/>
      <c r="F274" s="153"/>
      <c r="G274" s="153"/>
      <c r="H274" s="153"/>
      <c r="I274" s="153"/>
      <c r="J274" s="153"/>
    </row>
    <row r="275" spans="2:10">
      <c r="B275" s="153"/>
      <c r="C275" s="153"/>
      <c r="D275" s="153"/>
      <c r="E275" s="153"/>
      <c r="F275" s="153"/>
      <c r="G275" s="153"/>
      <c r="H275" s="153"/>
      <c r="I275" s="153"/>
      <c r="J275" s="153"/>
    </row>
    <row r="276" spans="2:10">
      <c r="B276" s="153"/>
      <c r="C276" s="153"/>
      <c r="D276" s="153"/>
      <c r="E276" s="153"/>
      <c r="F276" s="153"/>
      <c r="G276" s="153"/>
      <c r="H276" s="153"/>
      <c r="I276" s="153"/>
      <c r="J276" s="153"/>
    </row>
    <row r="277" spans="2:10">
      <c r="B277" s="153"/>
      <c r="C277" s="153"/>
      <c r="D277" s="153"/>
      <c r="E277" s="153"/>
      <c r="F277" s="153"/>
      <c r="G277" s="153"/>
      <c r="H277" s="153"/>
      <c r="I277" s="153"/>
      <c r="J277" s="153"/>
    </row>
    <row r="278" spans="2:10">
      <c r="B278" s="153"/>
      <c r="C278" s="153"/>
      <c r="D278" s="153"/>
      <c r="E278" s="153"/>
      <c r="F278" s="153"/>
      <c r="G278" s="153"/>
      <c r="H278" s="153"/>
      <c r="I278" s="153"/>
      <c r="J278" s="153"/>
    </row>
    <row r="279" spans="2:10">
      <c r="B279" s="153"/>
      <c r="C279" s="153"/>
      <c r="D279" s="153"/>
      <c r="E279" s="153"/>
      <c r="F279" s="153"/>
      <c r="G279" s="153"/>
      <c r="H279" s="153"/>
      <c r="I279" s="153"/>
      <c r="J279" s="153"/>
    </row>
    <row r="280" spans="2:10">
      <c r="B280" s="153"/>
      <c r="C280" s="153"/>
      <c r="D280" s="153"/>
      <c r="E280" s="153"/>
      <c r="F280" s="153"/>
      <c r="G280" s="153"/>
      <c r="H280" s="153"/>
      <c r="I280" s="153"/>
      <c r="J280" s="153"/>
    </row>
    <row r="281" spans="2:10">
      <c r="B281" s="153"/>
      <c r="C281" s="153"/>
      <c r="D281" s="153"/>
      <c r="E281" s="153"/>
      <c r="F281" s="153"/>
      <c r="G281" s="153"/>
      <c r="H281" s="153"/>
      <c r="I281" s="153"/>
      <c r="J281" s="153"/>
    </row>
    <row r="282" spans="2:10">
      <c r="B282" s="153"/>
      <c r="C282" s="153"/>
      <c r="D282" s="153"/>
      <c r="E282" s="153"/>
      <c r="F282" s="153"/>
      <c r="G282" s="153"/>
      <c r="H282" s="153"/>
      <c r="I282" s="153"/>
      <c r="J282" s="153"/>
    </row>
    <row r="283" spans="2:10">
      <c r="B283" s="153"/>
      <c r="C283" s="153"/>
      <c r="D283" s="153"/>
      <c r="E283" s="153"/>
      <c r="F283" s="153"/>
      <c r="G283" s="153"/>
      <c r="H283" s="153"/>
      <c r="I283" s="153"/>
      <c r="J283" s="153"/>
    </row>
    <row r="284" spans="2:10">
      <c r="B284" s="153"/>
      <c r="C284" s="153"/>
      <c r="D284" s="153"/>
      <c r="E284" s="153"/>
      <c r="F284" s="153"/>
      <c r="G284" s="153"/>
      <c r="H284" s="153"/>
      <c r="I284" s="153"/>
      <c r="J284" s="153"/>
    </row>
    <row r="285" spans="2:10">
      <c r="B285" s="153"/>
      <c r="C285" s="153"/>
      <c r="D285" s="153"/>
      <c r="E285" s="153"/>
      <c r="F285" s="153"/>
      <c r="G285" s="153"/>
      <c r="H285" s="153"/>
      <c r="I285" s="153"/>
      <c r="J285" s="153"/>
    </row>
    <row r="286" spans="2:10">
      <c r="B286" s="153"/>
      <c r="C286" s="153"/>
      <c r="D286" s="153"/>
      <c r="E286" s="153"/>
      <c r="F286" s="153"/>
      <c r="G286" s="153"/>
      <c r="H286" s="153"/>
      <c r="I286" s="153"/>
      <c r="J286" s="153"/>
    </row>
    <row r="287" spans="2:10">
      <c r="B287" s="153"/>
      <c r="C287" s="153"/>
      <c r="D287" s="153"/>
      <c r="E287" s="153"/>
      <c r="F287" s="153"/>
      <c r="G287" s="153"/>
      <c r="H287" s="153"/>
      <c r="I287" s="153"/>
      <c r="J287" s="153"/>
    </row>
  </sheetData>
  <mergeCells count="30">
    <mergeCell ref="C16:C17"/>
    <mergeCell ref="E16:E17"/>
    <mergeCell ref="F17:G17"/>
    <mergeCell ref="D36:E36"/>
    <mergeCell ref="F20:G20"/>
    <mergeCell ref="F19:G19"/>
    <mergeCell ref="F18:G18"/>
    <mergeCell ref="C24:G24"/>
    <mergeCell ref="F23:G23"/>
    <mergeCell ref="F22:G22"/>
    <mergeCell ref="F21:G21"/>
    <mergeCell ref="D32:E32"/>
    <mergeCell ref="D37:E37"/>
    <mergeCell ref="D38:E38"/>
    <mergeCell ref="D27:E27"/>
    <mergeCell ref="C44:D44"/>
    <mergeCell ref="D30:E30"/>
    <mergeCell ref="D31:E31"/>
    <mergeCell ref="D33:E33"/>
    <mergeCell ref="D34:E34"/>
    <mergeCell ref="D35:E35"/>
    <mergeCell ref="C39:G39"/>
    <mergeCell ref="D28:E28"/>
    <mergeCell ref="D29:E29"/>
    <mergeCell ref="C61:D61"/>
    <mergeCell ref="C56:D56"/>
    <mergeCell ref="C57:D57"/>
    <mergeCell ref="C58:D58"/>
    <mergeCell ref="C59:D59"/>
    <mergeCell ref="C60:D60"/>
  </mergeCells>
  <dataValidations count="3">
    <dataValidation type="list" allowBlank="1" showInputMessage="1" showErrorMessage="1" sqref="E18:E23" xr:uid="{00000000-0002-0000-0400-000000000000}">
      <formula1>$L$15:$L$17</formula1>
    </dataValidation>
    <dataValidation type="list" allowBlank="1" showInputMessage="1" showErrorMessage="1" sqref="B18:B23" xr:uid="{00000000-0002-0000-0400-000001000000}">
      <formula1>$M$1:$V$1</formula1>
    </dataValidation>
    <dataValidation type="decimal" operator="greaterThanOrEqual" allowBlank="1" showInputMessage="1" showErrorMessage="1" sqref="C18:C23" xr:uid="{00000000-0002-0000-0400-000002000000}">
      <formula1>0</formula1>
    </dataValidation>
  </dataValidations>
  <printOptions horizontalCentered="1"/>
  <pageMargins left="1" right="1" top="0.5" bottom="0.5" header="0.05" footer="0.3"/>
  <pageSetup scale="10" fitToHeight="2" orientation="portrait" r:id="rId1"/>
  <rowBreaks count="1" manualBreakCount="1">
    <brk id="68" min="1"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00B0F0"/>
    <pageSetUpPr fitToPage="1"/>
  </sheetPr>
  <dimension ref="A1:IB100"/>
  <sheetViews>
    <sheetView showZeros="0" topLeftCell="A10" zoomScaleNormal="100" workbookViewId="0">
      <selection activeCell="H34" sqref="H34"/>
    </sheetView>
  </sheetViews>
  <sheetFormatPr defaultRowHeight="12.75"/>
  <cols>
    <col min="1" max="1" width="43.28515625" style="152" customWidth="1"/>
    <col min="2" max="2" width="26.85546875" style="152" customWidth="1"/>
    <col min="3" max="3" width="11" style="152" customWidth="1"/>
    <col min="4" max="4" width="10.7109375" style="152" customWidth="1"/>
    <col min="5" max="5" width="11.28515625" style="152" customWidth="1"/>
    <col min="6" max="6" width="9.42578125" style="152" customWidth="1"/>
    <col min="7" max="7" width="7.7109375" style="152" customWidth="1"/>
    <col min="8" max="8" width="10.42578125" style="152" customWidth="1"/>
    <col min="9" max="9" width="12.140625" style="152" customWidth="1"/>
    <col min="10" max="10" width="9.140625" style="157"/>
    <col min="11" max="11" width="9.7109375" style="222" hidden="1" customWidth="1"/>
    <col min="12" max="12" width="21.28515625" style="222" hidden="1" customWidth="1"/>
    <col min="13" max="24" width="0" style="222" hidden="1" customWidth="1"/>
    <col min="25" max="37" width="9.140625" style="276"/>
  </cols>
  <sheetData>
    <row r="1" spans="1:37" ht="39.75" thickBot="1">
      <c r="B1" s="44" t="s">
        <v>271</v>
      </c>
      <c r="C1" s="215"/>
      <c r="D1" s="215"/>
      <c r="E1" s="196">
        <f>Inputs!G30</f>
        <v>60</v>
      </c>
      <c r="F1" s="224" t="s">
        <v>143</v>
      </c>
      <c r="G1" s="215"/>
      <c r="H1" s="215"/>
      <c r="I1" s="44"/>
      <c r="K1" s="416"/>
      <c r="L1" s="417" t="s">
        <v>186</v>
      </c>
      <c r="M1" s="417" t="str">
        <f>IF(Inputs!$B$68=0,"",Inputs!$B$68)</f>
        <v>Creep Feed</v>
      </c>
      <c r="N1" s="417" t="str">
        <f>IF(Inputs!$B$69=0,"",Inputs!$B$69)</f>
        <v xml:space="preserve">Pasture </v>
      </c>
      <c r="O1" s="417" t="str">
        <f>IF(Inputs!B70=0,"",Inputs!B70)</f>
        <v>Prairie Hay</v>
      </c>
      <c r="P1" s="417" t="str">
        <f>IF(Inputs!B71=0,"",Inputs!B71)</f>
        <v>Alfalfa</v>
      </c>
      <c r="Q1" s="417" t="str">
        <f>IF(Inputs!B72=0,"",Inputs!B72)</f>
        <v>DDG Cubes</v>
      </c>
      <c r="R1" s="417" t="str">
        <f>IF(Inputs!B73=0,"",Inputs!B73)</f>
        <v>Salt and Mineral</v>
      </c>
      <c r="S1" s="417" t="str">
        <f>IF(Inputs!B74=0,"",Inputs!B74)</f>
        <v>Silage</v>
      </c>
      <c r="T1" s="417" t="str">
        <f>IF(Inputs!B75=0,"",Inputs!B75)</f>
        <v>Corn</v>
      </c>
      <c r="U1" s="417" t="str">
        <f>IF(Inputs!B76=0,"",Inputs!B76)</f>
        <v>Wet Distiller's Grain</v>
      </c>
      <c r="V1" s="417" t="str">
        <f>IF(Inputs!B77=0,"",Inputs!B77)</f>
        <v>Corn Stalks</v>
      </c>
      <c r="W1" s="419" t="s">
        <v>30</v>
      </c>
      <c r="X1" s="416"/>
    </row>
    <row r="2" spans="1:37" ht="26.25" thickBot="1">
      <c r="B2" s="41" t="s">
        <v>96</v>
      </c>
      <c r="C2" s="108"/>
      <c r="D2" s="109"/>
      <c r="E2" s="109"/>
      <c r="F2" s="41"/>
      <c r="G2" s="119"/>
      <c r="H2" s="108" t="s">
        <v>73</v>
      </c>
      <c r="I2" s="122" t="s">
        <v>93</v>
      </c>
      <c r="K2" s="418"/>
      <c r="L2" s="418" t="str">
        <f t="shared" ref="L2:L7" si="0">B16</f>
        <v>Wet Distiller's Grain</v>
      </c>
      <c r="M2" s="418">
        <f>IF(M$1=$L2,$K16,0)</f>
        <v>0</v>
      </c>
      <c r="N2" s="418">
        <f t="shared" ref="N2:V2" si="1">IF(N$1=$L2,$K16,0)</f>
        <v>0</v>
      </c>
      <c r="O2" s="418">
        <f t="shared" si="1"/>
        <v>0</v>
      </c>
      <c r="P2" s="418">
        <f t="shared" si="1"/>
        <v>0</v>
      </c>
      <c r="Q2" s="418">
        <f t="shared" si="1"/>
        <v>0</v>
      </c>
      <c r="R2" s="418">
        <f t="shared" si="1"/>
        <v>0</v>
      </c>
      <c r="S2" s="418">
        <f t="shared" si="1"/>
        <v>0</v>
      </c>
      <c r="T2" s="418">
        <f t="shared" si="1"/>
        <v>0</v>
      </c>
      <c r="U2" s="418">
        <f t="shared" si="1"/>
        <v>91800</v>
      </c>
      <c r="V2" s="418">
        <f t="shared" si="1"/>
        <v>0</v>
      </c>
      <c r="W2" s="418">
        <f t="shared" ref="W2:W7" si="2">SUM(M2:V2)</f>
        <v>91800</v>
      </c>
      <c r="X2" s="416"/>
    </row>
    <row r="3" spans="1:37">
      <c r="B3" s="54"/>
      <c r="C3" s="76" t="s">
        <v>43</v>
      </c>
      <c r="D3" s="39" t="s">
        <v>29</v>
      </c>
      <c r="E3" s="39" t="s">
        <v>5</v>
      </c>
      <c r="F3" s="120"/>
      <c r="G3" s="121"/>
      <c r="H3" s="82" t="s">
        <v>30</v>
      </c>
      <c r="I3" s="91" t="s">
        <v>30</v>
      </c>
      <c r="K3" s="416"/>
      <c r="L3" s="418" t="str">
        <f t="shared" si="0"/>
        <v>Prairie Hay</v>
      </c>
      <c r="M3" s="418">
        <f t="shared" ref="M3:V7" si="3">IF(M$1=$L3,$K17,0)</f>
        <v>0</v>
      </c>
      <c r="N3" s="418">
        <f t="shared" si="3"/>
        <v>0</v>
      </c>
      <c r="O3" s="418">
        <f t="shared" si="3"/>
        <v>178500</v>
      </c>
      <c r="P3" s="418">
        <f t="shared" si="3"/>
        <v>0</v>
      </c>
      <c r="Q3" s="418">
        <f t="shared" si="3"/>
        <v>0</v>
      </c>
      <c r="R3" s="418">
        <f t="shared" si="3"/>
        <v>0</v>
      </c>
      <c r="S3" s="418">
        <f t="shared" si="3"/>
        <v>0</v>
      </c>
      <c r="T3" s="418">
        <f t="shared" si="3"/>
        <v>0</v>
      </c>
      <c r="U3" s="418">
        <f t="shared" si="3"/>
        <v>0</v>
      </c>
      <c r="V3" s="418">
        <f t="shared" si="3"/>
        <v>0</v>
      </c>
      <c r="W3" s="418">
        <f t="shared" si="2"/>
        <v>178500</v>
      </c>
      <c r="X3" s="416"/>
    </row>
    <row r="4" spans="1:37" s="238" customFormat="1">
      <c r="A4" s="276"/>
      <c r="B4" s="27" t="s">
        <v>158</v>
      </c>
      <c r="C4" s="192">
        <f>Inputs!O33</f>
        <v>140</v>
      </c>
      <c r="D4" s="368">
        <f>Inputs!G33</f>
        <v>700</v>
      </c>
      <c r="E4" s="368">
        <f>Inputs!G34</f>
        <v>165</v>
      </c>
      <c r="F4" s="250" t="s">
        <v>1</v>
      </c>
      <c r="G4" s="367"/>
      <c r="H4" s="435">
        <f>C4*D4*E4/100</f>
        <v>161700</v>
      </c>
      <c r="I4" s="470">
        <f>D4*E4/100</f>
        <v>1155</v>
      </c>
      <c r="J4" s="222"/>
      <c r="K4" s="416"/>
      <c r="L4" s="418" t="str">
        <f t="shared" si="0"/>
        <v>Salt and Mineral</v>
      </c>
      <c r="M4" s="418">
        <f t="shared" si="3"/>
        <v>0</v>
      </c>
      <c r="N4" s="418">
        <f t="shared" si="3"/>
        <v>0</v>
      </c>
      <c r="O4" s="418">
        <f t="shared" si="3"/>
        <v>0</v>
      </c>
      <c r="P4" s="418">
        <f t="shared" si="3"/>
        <v>0</v>
      </c>
      <c r="Q4" s="418">
        <f t="shared" si="3"/>
        <v>0</v>
      </c>
      <c r="R4" s="418">
        <f t="shared" si="3"/>
        <v>51000</v>
      </c>
      <c r="S4" s="418">
        <f t="shared" si="3"/>
        <v>0</v>
      </c>
      <c r="T4" s="418">
        <f t="shared" si="3"/>
        <v>0</v>
      </c>
      <c r="U4" s="418">
        <f t="shared" si="3"/>
        <v>0</v>
      </c>
      <c r="V4" s="418">
        <f t="shared" si="3"/>
        <v>0</v>
      </c>
      <c r="W4" s="418">
        <f t="shared" si="2"/>
        <v>51000</v>
      </c>
      <c r="X4" s="416"/>
      <c r="Y4" s="276"/>
      <c r="Z4" s="276"/>
      <c r="AA4" s="276"/>
      <c r="AB4" s="276"/>
      <c r="AC4" s="276"/>
      <c r="AD4" s="276"/>
      <c r="AE4" s="276"/>
      <c r="AF4" s="276"/>
      <c r="AG4" s="276"/>
      <c r="AH4" s="276"/>
      <c r="AI4" s="276"/>
      <c r="AJ4" s="276"/>
      <c r="AK4" s="276"/>
    </row>
    <row r="5" spans="1:37">
      <c r="B5" s="249" t="s">
        <v>164</v>
      </c>
      <c r="C5" s="369">
        <f>Inputs!G35-Inputs!O35</f>
        <v>115</v>
      </c>
      <c r="D5" s="189">
        <f>Inputs!G36</f>
        <v>650</v>
      </c>
      <c r="E5" s="189">
        <f>Inputs!G37</f>
        <v>158</v>
      </c>
      <c r="F5" s="49" t="s">
        <v>1</v>
      </c>
      <c r="G5" s="81"/>
      <c r="H5" s="435">
        <f>C5*D5*E5/100</f>
        <v>118105</v>
      </c>
      <c r="I5" s="470">
        <f>D5*E5/100</f>
        <v>1027</v>
      </c>
      <c r="K5" s="416"/>
      <c r="L5" s="418" t="str">
        <f t="shared" si="0"/>
        <v>Corn</v>
      </c>
      <c r="M5" s="418">
        <f t="shared" si="3"/>
        <v>0</v>
      </c>
      <c r="N5" s="418">
        <f t="shared" si="3"/>
        <v>0</v>
      </c>
      <c r="O5" s="418">
        <f t="shared" si="3"/>
        <v>0</v>
      </c>
      <c r="P5" s="418">
        <f t="shared" si="3"/>
        <v>0</v>
      </c>
      <c r="Q5" s="418">
        <f t="shared" si="3"/>
        <v>0</v>
      </c>
      <c r="R5" s="418">
        <f t="shared" si="3"/>
        <v>0</v>
      </c>
      <c r="S5" s="418">
        <f t="shared" si="3"/>
        <v>0</v>
      </c>
      <c r="T5" s="418">
        <f t="shared" si="3"/>
        <v>63750</v>
      </c>
      <c r="U5" s="418">
        <f t="shared" si="3"/>
        <v>0</v>
      </c>
      <c r="V5" s="418">
        <f t="shared" si="3"/>
        <v>0</v>
      </c>
      <c r="W5" s="418">
        <f t="shared" si="2"/>
        <v>63750</v>
      </c>
      <c r="X5" s="416"/>
    </row>
    <row r="6" spans="1:37" s="40" customFormat="1" ht="13.5" thickBot="1">
      <c r="A6" s="152"/>
      <c r="B6" s="48"/>
      <c r="C6" s="31"/>
      <c r="D6" s="49"/>
      <c r="E6" s="49"/>
      <c r="F6" s="49"/>
      <c r="G6" s="81"/>
      <c r="H6" s="435"/>
      <c r="I6" s="470"/>
      <c r="J6" s="157"/>
      <c r="K6" s="416"/>
      <c r="L6" s="418">
        <f t="shared" si="0"/>
        <v>0</v>
      </c>
      <c r="M6" s="418">
        <f t="shared" si="3"/>
        <v>0</v>
      </c>
      <c r="N6" s="418">
        <f t="shared" si="3"/>
        <v>0</v>
      </c>
      <c r="O6" s="418">
        <f t="shared" si="3"/>
        <v>0</v>
      </c>
      <c r="P6" s="418">
        <f t="shared" si="3"/>
        <v>0</v>
      </c>
      <c r="Q6" s="418">
        <f t="shared" si="3"/>
        <v>0</v>
      </c>
      <c r="R6" s="418">
        <f t="shared" si="3"/>
        <v>0</v>
      </c>
      <c r="S6" s="418">
        <f t="shared" si="3"/>
        <v>0</v>
      </c>
      <c r="T6" s="418">
        <f t="shared" si="3"/>
        <v>0</v>
      </c>
      <c r="U6" s="418">
        <f t="shared" si="3"/>
        <v>0</v>
      </c>
      <c r="V6" s="418">
        <f t="shared" si="3"/>
        <v>0</v>
      </c>
      <c r="W6" s="418">
        <f t="shared" si="2"/>
        <v>0</v>
      </c>
      <c r="X6" s="416"/>
      <c r="Y6" s="276"/>
      <c r="Z6" s="276"/>
      <c r="AA6" s="276"/>
      <c r="AB6" s="276"/>
      <c r="AC6" s="276"/>
      <c r="AD6" s="276"/>
      <c r="AE6" s="276"/>
      <c r="AF6" s="276"/>
      <c r="AG6" s="276"/>
      <c r="AH6" s="276"/>
      <c r="AI6" s="276"/>
      <c r="AJ6" s="276"/>
      <c r="AK6" s="276"/>
    </row>
    <row r="7" spans="1:37" ht="13.5" thickBot="1">
      <c r="B7" s="123"/>
      <c r="C7" s="96"/>
      <c r="D7" s="42"/>
      <c r="E7" s="42"/>
      <c r="F7" s="42"/>
      <c r="G7" s="97" t="s">
        <v>109</v>
      </c>
      <c r="H7" s="474">
        <f>SUM(H4:H6)</f>
        <v>279805</v>
      </c>
      <c r="I7" s="472">
        <f>IF(H7=0,0,H7/($C$5+$C$4))</f>
        <v>1097.2745098039215</v>
      </c>
      <c r="K7" s="416"/>
      <c r="L7" s="418">
        <f t="shared" si="0"/>
        <v>0</v>
      </c>
      <c r="M7" s="418">
        <f t="shared" si="3"/>
        <v>0</v>
      </c>
      <c r="N7" s="418">
        <f t="shared" si="3"/>
        <v>0</v>
      </c>
      <c r="O7" s="418">
        <f t="shared" si="3"/>
        <v>0</v>
      </c>
      <c r="P7" s="418">
        <f t="shared" si="3"/>
        <v>0</v>
      </c>
      <c r="Q7" s="418">
        <f t="shared" si="3"/>
        <v>0</v>
      </c>
      <c r="R7" s="418">
        <f t="shared" si="3"/>
        <v>0</v>
      </c>
      <c r="S7" s="418">
        <f t="shared" si="3"/>
        <v>0</v>
      </c>
      <c r="T7" s="418">
        <f t="shared" si="3"/>
        <v>0</v>
      </c>
      <c r="U7" s="418">
        <f t="shared" si="3"/>
        <v>0</v>
      </c>
      <c r="V7" s="418">
        <f t="shared" si="3"/>
        <v>0</v>
      </c>
      <c r="W7" s="418">
        <f t="shared" si="2"/>
        <v>0</v>
      </c>
      <c r="X7" s="416"/>
    </row>
    <row r="8" spans="1:37" ht="13.5" thickBot="1">
      <c r="B8" s="53"/>
      <c r="C8" s="53"/>
      <c r="D8" s="43"/>
      <c r="E8" s="43"/>
      <c r="F8" s="43"/>
      <c r="G8" s="43"/>
      <c r="H8" s="475"/>
      <c r="I8" s="610" t="str">
        <f>IF(H8=0,"",H8/$C$5)</f>
        <v/>
      </c>
      <c r="K8" s="416"/>
      <c r="L8" s="418" t="s">
        <v>30</v>
      </c>
      <c r="M8" s="418">
        <f>SUM(M2:M7)</f>
        <v>0</v>
      </c>
      <c r="N8" s="418">
        <f t="shared" ref="N8:V8" si="4">SUM(N2:N7)</f>
        <v>0</v>
      </c>
      <c r="O8" s="418">
        <f t="shared" si="4"/>
        <v>178500</v>
      </c>
      <c r="P8" s="418">
        <f t="shared" si="4"/>
        <v>0</v>
      </c>
      <c r="Q8" s="418">
        <f t="shared" si="4"/>
        <v>0</v>
      </c>
      <c r="R8" s="418">
        <f t="shared" si="4"/>
        <v>51000</v>
      </c>
      <c r="S8" s="418">
        <f t="shared" si="4"/>
        <v>0</v>
      </c>
      <c r="T8" s="418">
        <f t="shared" si="4"/>
        <v>63750</v>
      </c>
      <c r="U8" s="418">
        <f t="shared" si="4"/>
        <v>91800</v>
      </c>
      <c r="V8" s="418">
        <f t="shared" si="4"/>
        <v>0</v>
      </c>
      <c r="W8" s="418"/>
      <c r="X8" s="416"/>
    </row>
    <row r="9" spans="1:37" ht="26.25" thickBot="1">
      <c r="B9" s="41" t="s">
        <v>95</v>
      </c>
      <c r="C9" s="108"/>
      <c r="D9" s="109"/>
      <c r="E9" s="109"/>
      <c r="F9" s="109"/>
      <c r="G9" s="109"/>
      <c r="H9" s="476" t="s">
        <v>73</v>
      </c>
      <c r="I9" s="611" t="s">
        <v>93</v>
      </c>
      <c r="K9" s="416"/>
      <c r="L9" s="416"/>
      <c r="M9" s="416"/>
      <c r="N9" s="416"/>
      <c r="O9" s="416"/>
      <c r="P9" s="416"/>
      <c r="Q9" s="416"/>
      <c r="R9" s="416"/>
      <c r="S9" s="416"/>
      <c r="T9" s="416"/>
      <c r="U9" s="416"/>
      <c r="V9" s="416"/>
      <c r="W9" s="416"/>
      <c r="X9" s="416"/>
    </row>
    <row r="10" spans="1:37" s="40" customFormat="1">
      <c r="A10" s="152"/>
      <c r="B10" s="261"/>
      <c r="C10" s="244" t="s">
        <v>43</v>
      </c>
      <c r="D10" s="260" t="s">
        <v>29</v>
      </c>
      <c r="E10" s="260" t="s">
        <v>5</v>
      </c>
      <c r="F10" s="268"/>
      <c r="G10" s="284"/>
      <c r="H10" s="477" t="s">
        <v>30</v>
      </c>
      <c r="I10" s="612"/>
      <c r="J10" s="157"/>
      <c r="K10" s="416" t="s">
        <v>60</v>
      </c>
      <c r="L10" s="416"/>
      <c r="M10" s="416"/>
      <c r="N10" s="416"/>
      <c r="O10" s="416"/>
      <c r="P10" s="416"/>
      <c r="Q10" s="416"/>
      <c r="R10" s="416"/>
      <c r="S10" s="416"/>
      <c r="T10" s="416"/>
      <c r="U10" s="416"/>
      <c r="V10" s="416"/>
      <c r="W10" s="416"/>
      <c r="X10" s="416"/>
      <c r="Y10" s="276"/>
      <c r="Z10" s="276"/>
      <c r="AA10" s="276"/>
      <c r="AB10" s="276"/>
      <c r="AC10" s="276"/>
      <c r="AD10" s="276"/>
      <c r="AE10" s="276"/>
      <c r="AF10" s="276"/>
      <c r="AG10" s="276"/>
      <c r="AH10" s="276"/>
      <c r="AI10" s="276"/>
      <c r="AJ10" s="276"/>
      <c r="AK10" s="276"/>
    </row>
    <row r="11" spans="1:37" ht="12.75" customHeight="1">
      <c r="B11" s="254" t="s">
        <v>133</v>
      </c>
      <c r="C11" s="117">
        <f>Inputs!G32</f>
        <v>140</v>
      </c>
      <c r="D11" s="189">
        <f>Inputs!G24</f>
        <v>575</v>
      </c>
      <c r="E11" s="251">
        <f>Inputs!G26</f>
        <v>180</v>
      </c>
      <c r="F11" s="250" t="s">
        <v>1</v>
      </c>
      <c r="G11" s="264"/>
      <c r="H11" s="478">
        <f>IF(C11=0,0,C11*D11*E11/100)</f>
        <v>144900</v>
      </c>
      <c r="I11" s="613"/>
      <c r="K11" s="416" t="s">
        <v>63</v>
      </c>
      <c r="L11" s="416"/>
      <c r="M11" s="416"/>
      <c r="N11" s="416"/>
      <c r="O11" s="416"/>
      <c r="P11" s="416"/>
      <c r="Q11" s="416"/>
      <c r="R11" s="416"/>
      <c r="S11" s="416"/>
      <c r="T11" s="416"/>
      <c r="U11" s="416"/>
      <c r="V11" s="416"/>
      <c r="W11" s="416"/>
      <c r="X11" s="416"/>
    </row>
    <row r="12" spans="1:37" s="40" customFormat="1" ht="12.75" customHeight="1" thickBot="1">
      <c r="A12" s="152"/>
      <c r="B12" s="254" t="s">
        <v>134</v>
      </c>
      <c r="C12" s="117">
        <f>Inputs!G35</f>
        <v>115</v>
      </c>
      <c r="D12" s="250">
        <f>Inputs!G25</f>
        <v>525</v>
      </c>
      <c r="E12" s="251">
        <f>Inputs!G27</f>
        <v>160</v>
      </c>
      <c r="F12" s="250" t="s">
        <v>1</v>
      </c>
      <c r="G12" s="264"/>
      <c r="H12" s="479">
        <f>IF(C12=0,0,C12*D12*E12/100)</f>
        <v>96600</v>
      </c>
      <c r="I12" s="614"/>
      <c r="J12" s="157"/>
      <c r="K12" s="418"/>
      <c r="L12" s="416"/>
      <c r="M12" s="416"/>
      <c r="N12" s="416"/>
      <c r="O12" s="416"/>
      <c r="P12" s="416"/>
      <c r="Q12" s="416"/>
      <c r="R12" s="416"/>
      <c r="S12" s="416"/>
      <c r="T12" s="416"/>
      <c r="U12" s="416"/>
      <c r="V12" s="416"/>
      <c r="W12" s="416"/>
      <c r="X12" s="416"/>
      <c r="Y12" s="276"/>
      <c r="Z12" s="276"/>
      <c r="AA12" s="276"/>
      <c r="AB12" s="276"/>
      <c r="AC12" s="276"/>
      <c r="AD12" s="276"/>
      <c r="AE12" s="276"/>
      <c r="AF12" s="276"/>
      <c r="AG12" s="276"/>
      <c r="AH12" s="276"/>
      <c r="AI12" s="276"/>
      <c r="AJ12" s="276"/>
      <c r="AK12" s="276"/>
    </row>
    <row r="13" spans="1:37" s="40" customFormat="1" ht="13.5" customHeight="1" thickTop="1">
      <c r="A13" s="152"/>
      <c r="B13" s="283"/>
      <c r="D13" s="250"/>
      <c r="E13" s="43"/>
      <c r="F13" s="250"/>
      <c r="G13" s="257" t="s">
        <v>149</v>
      </c>
      <c r="H13" s="189">
        <f>SUM(H11:H12)</f>
        <v>241500</v>
      </c>
      <c r="I13" s="560">
        <f>IF(H13=0,0,H13/($C$5+$C$4))</f>
        <v>947.05882352941171</v>
      </c>
      <c r="J13" s="157"/>
      <c r="K13" s="418"/>
      <c r="L13" s="823"/>
      <c r="M13" s="418"/>
      <c r="N13" s="416"/>
      <c r="O13" s="416"/>
      <c r="P13" s="416"/>
      <c r="Q13" s="416"/>
      <c r="R13" s="416"/>
      <c r="S13" s="416"/>
      <c r="T13" s="416"/>
      <c r="U13" s="416" t="str">
        <f>IF(Inputs!B68="","",Inputs!B68)</f>
        <v>Creep Feed</v>
      </c>
      <c r="V13" s="416"/>
      <c r="W13" s="416"/>
      <c r="X13" s="416"/>
      <c r="Y13" s="221"/>
      <c r="Z13" s="221"/>
      <c r="AA13" s="221"/>
      <c r="AB13" s="276"/>
      <c r="AC13" s="276"/>
      <c r="AD13" s="276"/>
      <c r="AE13" s="276"/>
      <c r="AF13" s="276"/>
      <c r="AG13" s="276"/>
      <c r="AH13" s="276"/>
      <c r="AI13" s="276"/>
      <c r="AJ13" s="276"/>
      <c r="AK13" s="276"/>
    </row>
    <row r="14" spans="1:37" s="238" customFormat="1">
      <c r="A14" s="276"/>
      <c r="B14" s="249"/>
      <c r="C14" s="370"/>
      <c r="D14" s="250"/>
      <c r="F14" s="250"/>
      <c r="G14" s="250"/>
      <c r="H14" s="189"/>
      <c r="I14" s="560"/>
      <c r="J14" s="222"/>
      <c r="K14" s="418"/>
      <c r="L14" s="823"/>
      <c r="M14" s="418"/>
      <c r="N14" s="416"/>
      <c r="O14" s="416"/>
      <c r="P14" s="416"/>
      <c r="Q14" s="416"/>
      <c r="R14" s="416"/>
      <c r="S14" s="416"/>
      <c r="T14" s="416"/>
      <c r="U14" s="416" t="str">
        <f>IF(Inputs!B69="","",Inputs!B69)</f>
        <v xml:space="preserve">Pasture </v>
      </c>
      <c r="V14" s="416"/>
      <c r="W14" s="416"/>
      <c r="X14" s="416"/>
      <c r="Y14" s="221"/>
      <c r="Z14" s="221"/>
      <c r="AA14" s="221"/>
      <c r="AB14" s="276"/>
      <c r="AC14" s="276"/>
      <c r="AD14" s="276"/>
      <c r="AE14" s="276"/>
      <c r="AF14" s="276"/>
      <c r="AG14" s="276"/>
      <c r="AH14" s="276"/>
      <c r="AI14" s="276"/>
      <c r="AJ14" s="276"/>
      <c r="AK14" s="276"/>
    </row>
    <row r="15" spans="1:37" ht="39" customHeight="1">
      <c r="A15" s="155"/>
      <c r="B15" s="254" t="s">
        <v>7</v>
      </c>
      <c r="C15" s="355" t="s">
        <v>67</v>
      </c>
      <c r="D15" s="250"/>
      <c r="E15" s="356" t="s">
        <v>62</v>
      </c>
      <c r="F15" s="269" t="s">
        <v>5</v>
      </c>
      <c r="G15" s="116"/>
      <c r="H15" s="480" t="s">
        <v>30</v>
      </c>
      <c r="I15" s="615" t="s">
        <v>30</v>
      </c>
      <c r="K15" s="429"/>
      <c r="L15" s="823"/>
      <c r="M15" s="418"/>
      <c r="N15" s="416"/>
      <c r="O15" s="416"/>
      <c r="P15" s="416"/>
      <c r="Q15" s="416"/>
      <c r="R15" s="416"/>
      <c r="S15" s="416"/>
      <c r="T15" s="416"/>
      <c r="U15" s="416" t="str">
        <f>IF(Inputs!B70="","",Inputs!B70)</f>
        <v>Prairie Hay</v>
      </c>
      <c r="V15" s="416"/>
      <c r="W15" s="416"/>
      <c r="X15" s="416"/>
      <c r="Y15" s="221"/>
      <c r="Z15" s="221"/>
      <c r="AA15" s="221"/>
    </row>
    <row r="16" spans="1:37">
      <c r="B16" s="727" t="s">
        <v>269</v>
      </c>
      <c r="C16" s="728">
        <v>360</v>
      </c>
      <c r="D16" s="277" t="str">
        <f t="shared" ref="D16:D21" si="5">IF(B16="","",CONCATENATE(VLOOKUP(B16,Feed,5,FALSE)))</f>
        <v>lbs</v>
      </c>
      <c r="E16" s="730" t="s">
        <v>60</v>
      </c>
      <c r="F16" s="256">
        <f t="shared" ref="F16:F21" si="6">IF(B16="","",VLOOKUP(B16,Feed,7,FALSE))</f>
        <v>0.05</v>
      </c>
      <c r="G16" s="272" t="str">
        <f t="shared" ref="G16:G21" si="7">IF(B16="","",CONCATENATE("$ ",VLOOKUP(B16,Feed,5,FALSE)))</f>
        <v>$ lbs</v>
      </c>
      <c r="H16" s="433">
        <f t="shared" ref="H16:H21" si="8">IF(B16="","",C16*F16*IF(E16="per animal",($C$4+$C$5+$C$11+$C$12)/2,1))</f>
        <v>4590</v>
      </c>
      <c r="I16" s="750">
        <f t="shared" ref="I16:I21" si="9">IF(B16="","",IF(($C$4+$C$5)=0,"",H16/($C$4+$C$5)))</f>
        <v>18</v>
      </c>
      <c r="K16" s="416">
        <f t="shared" ref="K16:K21" si="10">C16*IF(E16="total",1,IF(E16="per animal",($C$4+$C$5+$C$11+$C$12)/2,0))</f>
        <v>91800</v>
      </c>
      <c r="L16" s="418"/>
      <c r="M16" s="430"/>
      <c r="N16" s="416"/>
      <c r="O16" s="431"/>
      <c r="P16" s="416"/>
      <c r="Q16" s="416"/>
      <c r="R16" s="416"/>
      <c r="S16" s="416"/>
      <c r="T16" s="416"/>
      <c r="U16" s="416" t="str">
        <f>IF(Inputs!B71="","",Inputs!B71)</f>
        <v>Alfalfa</v>
      </c>
      <c r="V16" s="416"/>
      <c r="W16" s="416"/>
      <c r="X16" s="416"/>
      <c r="Y16" s="221"/>
      <c r="Z16" s="221"/>
      <c r="AA16" s="221"/>
    </row>
    <row r="17" spans="1:37">
      <c r="B17" s="726" t="s">
        <v>248</v>
      </c>
      <c r="C17" s="729">
        <v>700</v>
      </c>
      <c r="D17" s="277" t="str">
        <f t="shared" si="5"/>
        <v>lbs</v>
      </c>
      <c r="E17" s="731" t="s">
        <v>60</v>
      </c>
      <c r="F17" s="256">
        <f t="shared" si="6"/>
        <v>6.5000000000000002E-2</v>
      </c>
      <c r="G17" s="272" t="str">
        <f t="shared" si="7"/>
        <v>$ lbs</v>
      </c>
      <c r="H17" s="433">
        <f t="shared" si="8"/>
        <v>11602.5</v>
      </c>
      <c r="I17" s="750">
        <f t="shared" si="9"/>
        <v>45.5</v>
      </c>
      <c r="K17" s="416">
        <f t="shared" si="10"/>
        <v>178500</v>
      </c>
      <c r="L17" s="418"/>
      <c r="M17" s="418"/>
      <c r="N17" s="416"/>
      <c r="O17" s="416"/>
      <c r="P17" s="416"/>
      <c r="Q17" s="416"/>
      <c r="R17" s="416"/>
      <c r="S17" s="416"/>
      <c r="T17" s="416"/>
      <c r="U17" s="416" t="str">
        <f>IF(Inputs!B72="","",Inputs!B72)</f>
        <v>DDG Cubes</v>
      </c>
      <c r="V17" s="416"/>
      <c r="W17" s="416"/>
      <c r="X17" s="416"/>
      <c r="Y17" s="221"/>
      <c r="Z17" s="221"/>
      <c r="AA17" s="221"/>
    </row>
    <row r="18" spans="1:37">
      <c r="B18" s="726" t="s">
        <v>253</v>
      </c>
      <c r="C18" s="728">
        <v>200</v>
      </c>
      <c r="D18" s="277" t="str">
        <f t="shared" si="5"/>
        <v>ounce</v>
      </c>
      <c r="E18" s="730" t="s">
        <v>60</v>
      </c>
      <c r="F18" s="256">
        <f t="shared" si="6"/>
        <v>2.8125000000000001E-2</v>
      </c>
      <c r="G18" s="272" t="str">
        <f t="shared" si="7"/>
        <v>$ ounce</v>
      </c>
      <c r="H18" s="433">
        <f t="shared" si="8"/>
        <v>1434.375</v>
      </c>
      <c r="I18" s="750">
        <f t="shared" si="9"/>
        <v>5.625</v>
      </c>
      <c r="K18" s="416">
        <f t="shared" si="10"/>
        <v>51000</v>
      </c>
      <c r="L18" s="418"/>
      <c r="M18" s="418"/>
      <c r="N18" s="416"/>
      <c r="O18" s="416"/>
      <c r="P18" s="416"/>
      <c r="Q18" s="416"/>
      <c r="R18" s="416"/>
      <c r="S18" s="416"/>
      <c r="T18" s="416"/>
      <c r="U18" s="416" t="str">
        <f>IF(Inputs!B73="","",Inputs!B73)</f>
        <v>Salt and Mineral</v>
      </c>
      <c r="V18" s="416"/>
      <c r="W18" s="416"/>
      <c r="X18" s="416"/>
      <c r="Y18" s="221"/>
      <c r="Z18" s="221"/>
      <c r="AA18" s="221"/>
    </row>
    <row r="19" spans="1:37">
      <c r="B19" s="726" t="s">
        <v>255</v>
      </c>
      <c r="C19" s="728">
        <v>250</v>
      </c>
      <c r="D19" s="277" t="str">
        <f t="shared" si="5"/>
        <v>lbs</v>
      </c>
      <c r="E19" s="730" t="s">
        <v>60</v>
      </c>
      <c r="F19" s="256">
        <f t="shared" si="6"/>
        <v>9.6428571428571433E-2</v>
      </c>
      <c r="G19" s="272" t="str">
        <f t="shared" si="7"/>
        <v>$ lbs</v>
      </c>
      <c r="H19" s="433">
        <f t="shared" si="8"/>
        <v>6147.3214285714284</v>
      </c>
      <c r="I19" s="750">
        <f t="shared" si="9"/>
        <v>24.107142857142858</v>
      </c>
      <c r="K19" s="416">
        <f t="shared" si="10"/>
        <v>63750</v>
      </c>
      <c r="L19" s="418"/>
      <c r="M19" s="418"/>
      <c r="N19" s="416"/>
      <c r="O19" s="416"/>
      <c r="P19" s="416"/>
      <c r="Q19" s="416"/>
      <c r="R19" s="416"/>
      <c r="S19" s="416"/>
      <c r="T19" s="416"/>
      <c r="U19" s="416" t="str">
        <f>IF(Inputs!B74="","",Inputs!B74)</f>
        <v>Silage</v>
      </c>
      <c r="V19" s="416"/>
      <c r="W19" s="416"/>
      <c r="X19" s="416"/>
      <c r="Y19" s="221"/>
      <c r="Z19" s="221"/>
      <c r="AA19" s="221"/>
    </row>
    <row r="20" spans="1:37">
      <c r="B20" s="204"/>
      <c r="C20" s="205"/>
      <c r="D20" s="277" t="str">
        <f t="shared" si="5"/>
        <v/>
      </c>
      <c r="E20" s="218"/>
      <c r="F20" s="256" t="str">
        <f t="shared" si="6"/>
        <v/>
      </c>
      <c r="G20" s="272" t="str">
        <f t="shared" si="7"/>
        <v/>
      </c>
      <c r="H20" s="433" t="str">
        <f t="shared" si="8"/>
        <v/>
      </c>
      <c r="I20" s="750" t="str">
        <f t="shared" si="9"/>
        <v/>
      </c>
      <c r="K20" s="416">
        <f t="shared" si="10"/>
        <v>0</v>
      </c>
      <c r="L20" s="418"/>
      <c r="M20" s="418"/>
      <c r="N20" s="416"/>
      <c r="O20" s="416"/>
      <c r="P20" s="416"/>
      <c r="Q20" s="416"/>
      <c r="R20" s="416"/>
      <c r="S20" s="416"/>
      <c r="T20" s="416"/>
      <c r="U20" s="416" t="str">
        <f>IF(Inputs!B75="","",Inputs!B75)</f>
        <v>Corn</v>
      </c>
      <c r="V20" s="416"/>
      <c r="W20" s="416"/>
      <c r="X20" s="416"/>
      <c r="Y20" s="221"/>
      <c r="Z20" s="221"/>
      <c r="AA20" s="221"/>
    </row>
    <row r="21" spans="1:37" ht="13.5" thickBot="1">
      <c r="B21" s="204"/>
      <c r="C21" s="205"/>
      <c r="D21" s="277" t="str">
        <f t="shared" si="5"/>
        <v/>
      </c>
      <c r="E21" s="218"/>
      <c r="F21" s="256" t="str">
        <f t="shared" si="6"/>
        <v/>
      </c>
      <c r="G21" s="272" t="str">
        <f t="shared" si="7"/>
        <v/>
      </c>
      <c r="H21" s="434" t="str">
        <f t="shared" si="8"/>
        <v/>
      </c>
      <c r="I21" s="751" t="str">
        <f t="shared" si="9"/>
        <v/>
      </c>
      <c r="K21" s="416">
        <f t="shared" si="10"/>
        <v>0</v>
      </c>
      <c r="L21" s="418"/>
      <c r="M21" s="418"/>
      <c r="N21" s="416"/>
      <c r="O21" s="416"/>
      <c r="P21" s="416"/>
      <c r="Q21" s="416"/>
      <c r="R21" s="416"/>
      <c r="S21" s="416"/>
      <c r="T21" s="416"/>
      <c r="U21" s="416" t="str">
        <f>IF(Inputs!B76="","",Inputs!B76)</f>
        <v>Wet Distiller's Grain</v>
      </c>
      <c r="V21" s="416"/>
      <c r="W21" s="416"/>
      <c r="X21" s="416"/>
      <c r="Y21" s="221"/>
      <c r="Z21" s="221"/>
      <c r="AA21" s="221"/>
    </row>
    <row r="22" spans="1:37" ht="13.5" thickTop="1">
      <c r="B22" s="249"/>
      <c r="C22" s="75"/>
      <c r="D22" s="250"/>
      <c r="E22" s="257"/>
      <c r="F22" s="259"/>
      <c r="G22" s="257" t="s">
        <v>35</v>
      </c>
      <c r="H22" s="481">
        <f>SUM(H16:H21)</f>
        <v>23774.196428571428</v>
      </c>
      <c r="I22" s="616">
        <f>SUM(I16:I21)</f>
        <v>93.232142857142861</v>
      </c>
      <c r="K22" s="416"/>
      <c r="L22" s="416"/>
      <c r="M22" s="416"/>
      <c r="N22" s="416"/>
      <c r="O22" s="416"/>
      <c r="P22" s="416"/>
      <c r="Q22" s="416"/>
      <c r="R22" s="416"/>
      <c r="S22" s="416"/>
      <c r="T22" s="416"/>
      <c r="U22" s="416" t="str">
        <f>IF(Inputs!B77="","",Inputs!B77)</f>
        <v>Corn Stalks</v>
      </c>
      <c r="V22" s="416"/>
      <c r="W22" s="416"/>
      <c r="X22" s="416"/>
      <c r="Y22" s="221"/>
      <c r="Z22" s="221"/>
      <c r="AA22" s="221"/>
    </row>
    <row r="23" spans="1:37">
      <c r="A23" s="156"/>
      <c r="B23" s="249"/>
      <c r="C23" s="242"/>
      <c r="D23" s="250"/>
      <c r="E23" s="250"/>
      <c r="F23" s="250"/>
      <c r="G23" s="250"/>
      <c r="H23" s="435"/>
      <c r="I23" s="470" t="str">
        <f>IF(H23=0,"",H23/$C$5)</f>
        <v/>
      </c>
      <c r="K23" s="416"/>
      <c r="L23" s="416"/>
      <c r="M23" s="416"/>
      <c r="N23" s="416"/>
      <c r="O23" s="416"/>
      <c r="P23" s="416"/>
      <c r="Q23" s="416"/>
      <c r="R23" s="416"/>
      <c r="S23" s="416"/>
      <c r="T23" s="416"/>
      <c r="U23" s="416"/>
      <c r="V23" s="416"/>
      <c r="W23" s="416"/>
      <c r="X23" s="416"/>
      <c r="Y23" s="221"/>
      <c r="Z23" s="221"/>
      <c r="AA23" s="221"/>
    </row>
    <row r="24" spans="1:37">
      <c r="B24" s="262" t="s">
        <v>44</v>
      </c>
      <c r="C24" s="273"/>
      <c r="D24" s="282" t="s">
        <v>55</v>
      </c>
      <c r="E24" s="357" t="s">
        <v>176</v>
      </c>
      <c r="F24" s="245" t="s">
        <v>47</v>
      </c>
      <c r="G24" s="265"/>
      <c r="H24" s="482" t="s">
        <v>30</v>
      </c>
      <c r="I24" s="617" t="s">
        <v>30</v>
      </c>
      <c r="J24" s="158"/>
      <c r="K24" s="416"/>
      <c r="L24" s="416"/>
      <c r="M24" s="416"/>
      <c r="N24" s="416"/>
      <c r="O24" s="416"/>
      <c r="P24" s="416"/>
      <c r="Q24" s="416"/>
      <c r="R24" s="416"/>
      <c r="S24" s="416"/>
      <c r="T24" s="416"/>
      <c r="U24" s="416"/>
      <c r="V24" s="416"/>
      <c r="W24" s="416"/>
      <c r="X24" s="416"/>
      <c r="Y24" s="221"/>
      <c r="Z24" s="221"/>
      <c r="AA24" s="221"/>
    </row>
    <row r="25" spans="1:37">
      <c r="B25" s="249" t="str">
        <f>Inputs!B81</f>
        <v>Labor</v>
      </c>
      <c r="C25" s="241"/>
      <c r="D25" s="255">
        <f>Inputs!D81</f>
        <v>10</v>
      </c>
      <c r="E25" s="232" t="str">
        <f>Inputs!E81</f>
        <v>per animal</v>
      </c>
      <c r="F25" s="124">
        <f>Inputs!R81</f>
        <v>6.1143331941745892E-2</v>
      </c>
      <c r="G25" s="264"/>
      <c r="H25" s="435">
        <f>D25*IF(E25="per animal",$C$11+$C$12,1)*F25</f>
        <v>155.91549645145201</v>
      </c>
      <c r="I25" s="750">
        <f>IF(B25="","",IF(($C$4+$C$5)=0,"",H25/($C$4+$C$5)))</f>
        <v>0.61143331941745893</v>
      </c>
      <c r="K25" s="416"/>
      <c r="L25" s="416"/>
      <c r="M25" s="416"/>
      <c r="N25" s="416"/>
      <c r="O25" s="416"/>
      <c r="P25" s="416"/>
      <c r="Q25" s="416"/>
      <c r="R25" s="416"/>
      <c r="S25" s="416"/>
      <c r="T25" s="416"/>
      <c r="U25" s="416"/>
      <c r="V25" s="416"/>
      <c r="W25" s="416"/>
      <c r="X25" s="416"/>
      <c r="Y25" s="221"/>
      <c r="Z25" s="221"/>
      <c r="AA25" s="221"/>
    </row>
    <row r="26" spans="1:37">
      <c r="B26" s="249" t="str">
        <f>Inputs!B82</f>
        <v xml:space="preserve">Fuel / transportation </v>
      </c>
      <c r="C26" s="241"/>
      <c r="D26" s="255">
        <f>Inputs!D82</f>
        <v>15</v>
      </c>
      <c r="E26" s="358" t="str">
        <f>Inputs!E82</f>
        <v>per animal</v>
      </c>
      <c r="F26" s="124">
        <f>Inputs!R82</f>
        <v>6.1143331941745892E-2</v>
      </c>
      <c r="G26" s="264"/>
      <c r="H26" s="435">
        <f t="shared" ref="H26:H33" si="11">D26*IF(E26="per animal",$C$11+$C$12,1)*F26</f>
        <v>233.87324467717804</v>
      </c>
      <c r="I26" s="750">
        <f t="shared" ref="I26:I33" si="12">IF(B26="","",IF(($C$4+$C$5)=0,"",H26/($C$4+$C$5)))</f>
        <v>0.91714997912618834</v>
      </c>
      <c r="K26" s="416"/>
      <c r="L26" s="416"/>
      <c r="M26" s="416"/>
      <c r="N26" s="416"/>
      <c r="O26" s="416"/>
      <c r="P26" s="416"/>
      <c r="Q26" s="416"/>
      <c r="R26" s="416"/>
      <c r="S26" s="416"/>
      <c r="T26" s="416"/>
      <c r="U26" s="416"/>
      <c r="V26" s="416"/>
      <c r="W26" s="416"/>
      <c r="X26" s="416"/>
      <c r="Y26" s="221"/>
      <c r="Z26" s="221"/>
      <c r="AA26" s="221"/>
    </row>
    <row r="27" spans="1:37">
      <c r="B27" s="249" t="str">
        <f>Inputs!B83</f>
        <v>Veterinary and Medical</v>
      </c>
      <c r="C27" s="241"/>
      <c r="D27" s="255">
        <f>Inputs!D83</f>
        <v>30</v>
      </c>
      <c r="E27" s="358" t="str">
        <f>Inputs!E83</f>
        <v>per animal</v>
      </c>
      <c r="F27" s="124">
        <f>Inputs!R83</f>
        <v>6.1143331941745892E-2</v>
      </c>
      <c r="G27" s="264"/>
      <c r="H27" s="435">
        <f t="shared" si="11"/>
        <v>467.74648935435607</v>
      </c>
      <c r="I27" s="750">
        <f t="shared" si="12"/>
        <v>1.8342999582523767</v>
      </c>
      <c r="K27" s="416"/>
      <c r="L27" s="416"/>
      <c r="M27" s="416"/>
      <c r="N27" s="416"/>
      <c r="O27" s="416"/>
      <c r="P27" s="416"/>
      <c r="Q27" s="416"/>
      <c r="R27" s="416"/>
      <c r="S27" s="416"/>
      <c r="T27" s="416"/>
      <c r="U27" s="416"/>
      <c r="V27" s="416"/>
      <c r="W27" s="416"/>
      <c r="X27" s="416"/>
      <c r="Y27" s="221"/>
      <c r="Z27" s="221"/>
      <c r="AA27" s="221"/>
    </row>
    <row r="28" spans="1:37">
      <c r="B28" s="249" t="s">
        <v>279</v>
      </c>
      <c r="C28" s="274"/>
      <c r="D28" s="255">
        <f>[1]Inputs!X88</f>
        <v>25</v>
      </c>
      <c r="E28" s="764" t="str">
        <f>[1]Inputs!E88</f>
        <v>per animal</v>
      </c>
      <c r="F28" s="124"/>
      <c r="G28" s="264"/>
      <c r="H28" s="435">
        <f>(C4+C5)*D28-(C11+C12)*Inputs!D87</f>
        <v>1275</v>
      </c>
      <c r="I28" s="750">
        <f t="shared" si="12"/>
        <v>5</v>
      </c>
      <c r="K28" s="416"/>
      <c r="L28" s="416"/>
      <c r="M28" s="416"/>
      <c r="N28" s="416"/>
      <c r="O28" s="416"/>
      <c r="P28" s="416"/>
      <c r="Q28" s="416"/>
      <c r="R28" s="416"/>
      <c r="S28" s="416"/>
      <c r="T28" s="416"/>
      <c r="U28" s="416"/>
      <c r="V28" s="416"/>
      <c r="W28" s="416"/>
      <c r="X28" s="416"/>
      <c r="Y28" s="221"/>
      <c r="Z28" s="221"/>
      <c r="AA28" s="221"/>
    </row>
    <row r="29" spans="1:37" hidden="1">
      <c r="B29" s="283">
        <f>Inputs!B91</f>
        <v>0</v>
      </c>
      <c r="C29" s="251"/>
      <c r="D29" s="255">
        <f>Inputs!D91</f>
        <v>0</v>
      </c>
      <c r="E29" s="232">
        <f>Inputs!E91</f>
        <v>0</v>
      </c>
      <c r="F29" s="124">
        <f>Inputs!R91</f>
        <v>0</v>
      </c>
      <c r="G29" s="264"/>
      <c r="H29" s="435">
        <f t="shared" si="11"/>
        <v>0</v>
      </c>
      <c r="I29" s="750">
        <f t="shared" si="12"/>
        <v>0</v>
      </c>
      <c r="K29" s="416"/>
      <c r="L29" s="416"/>
      <c r="M29" s="416"/>
      <c r="N29" s="416"/>
      <c r="O29" s="416"/>
      <c r="P29" s="416"/>
      <c r="Q29" s="416"/>
      <c r="R29" s="416"/>
      <c r="S29" s="416"/>
      <c r="T29" s="416"/>
      <c r="U29" s="416"/>
      <c r="V29" s="416"/>
      <c r="W29" s="416"/>
      <c r="X29" s="416"/>
      <c r="Y29" s="221"/>
      <c r="Z29" s="221"/>
      <c r="AA29" s="221"/>
    </row>
    <row r="30" spans="1:37" hidden="1">
      <c r="B30" s="283">
        <f>Inputs!B92</f>
        <v>0</v>
      </c>
      <c r="C30" s="251" t="s">
        <v>9</v>
      </c>
      <c r="D30" s="255">
        <f>Inputs!D92</f>
        <v>0</v>
      </c>
      <c r="E30" s="358">
        <f>Inputs!E92</f>
        <v>0</v>
      </c>
      <c r="F30" s="124">
        <f>Inputs!R92</f>
        <v>0</v>
      </c>
      <c r="G30" s="264"/>
      <c r="H30" s="435">
        <f t="shared" si="11"/>
        <v>0</v>
      </c>
      <c r="I30" s="750">
        <f t="shared" si="12"/>
        <v>0</v>
      </c>
      <c r="K30" s="416"/>
      <c r="L30" s="416"/>
      <c r="M30" s="416"/>
      <c r="N30" s="416"/>
      <c r="O30" s="416"/>
      <c r="P30" s="416"/>
      <c r="Q30" s="416"/>
      <c r="R30" s="416"/>
      <c r="S30" s="416"/>
      <c r="T30" s="416"/>
      <c r="U30" s="416"/>
      <c r="V30" s="416"/>
      <c r="W30" s="416"/>
      <c r="X30" s="416"/>
      <c r="Y30" s="221"/>
      <c r="Z30" s="221"/>
      <c r="AA30" s="221"/>
    </row>
    <row r="31" spans="1:37" hidden="1">
      <c r="B31" s="283">
        <f>Inputs!B93</f>
        <v>0</v>
      </c>
      <c r="C31" s="251" t="s">
        <v>9</v>
      </c>
      <c r="D31" s="255">
        <f>Inputs!D93</f>
        <v>0</v>
      </c>
      <c r="E31" s="358">
        <f>Inputs!E93</f>
        <v>0</v>
      </c>
      <c r="F31" s="124">
        <f>Inputs!R93</f>
        <v>0</v>
      </c>
      <c r="G31" s="264"/>
      <c r="H31" s="435">
        <f t="shared" si="11"/>
        <v>0</v>
      </c>
      <c r="I31" s="750">
        <f t="shared" si="12"/>
        <v>0</v>
      </c>
      <c r="K31" s="416"/>
      <c r="L31" s="416"/>
      <c r="M31" s="416"/>
      <c r="N31" s="416"/>
      <c r="O31" s="416"/>
      <c r="P31" s="416"/>
      <c r="Q31" s="416"/>
      <c r="R31" s="416"/>
      <c r="S31" s="416"/>
      <c r="T31" s="416"/>
      <c r="U31" s="416"/>
      <c r="V31" s="416"/>
      <c r="W31" s="416"/>
      <c r="X31" s="416"/>
      <c r="Y31" s="221"/>
      <c r="Z31" s="221"/>
      <c r="AA31" s="221"/>
    </row>
    <row r="32" spans="1:37" s="190" customFormat="1" hidden="1">
      <c r="A32" s="220"/>
      <c r="B32" s="283">
        <f>Inputs!B94</f>
        <v>0</v>
      </c>
      <c r="C32" s="251"/>
      <c r="D32" s="255">
        <f>Inputs!D94</f>
        <v>0</v>
      </c>
      <c r="E32" s="358">
        <f>Inputs!E94</f>
        <v>0</v>
      </c>
      <c r="F32" s="124">
        <f>Inputs!R94</f>
        <v>0</v>
      </c>
      <c r="G32" s="264"/>
      <c r="H32" s="435">
        <f t="shared" si="11"/>
        <v>0</v>
      </c>
      <c r="I32" s="750">
        <f t="shared" si="12"/>
        <v>0</v>
      </c>
      <c r="J32" s="222"/>
      <c r="K32" s="416"/>
      <c r="L32" s="416"/>
      <c r="M32" s="416"/>
      <c r="N32" s="416"/>
      <c r="O32" s="416"/>
      <c r="P32" s="416"/>
      <c r="Q32" s="416"/>
      <c r="R32" s="416"/>
      <c r="S32" s="416"/>
      <c r="T32" s="416"/>
      <c r="U32" s="416"/>
      <c r="V32" s="416"/>
      <c r="W32" s="416"/>
      <c r="X32" s="416"/>
      <c r="Y32" s="221"/>
      <c r="Z32" s="221"/>
      <c r="AA32" s="221"/>
      <c r="AB32" s="276"/>
      <c r="AC32" s="276"/>
      <c r="AD32" s="276"/>
      <c r="AE32" s="276"/>
      <c r="AF32" s="276"/>
      <c r="AG32" s="276"/>
      <c r="AH32" s="276"/>
      <c r="AI32" s="276"/>
      <c r="AJ32" s="276"/>
      <c r="AK32" s="276"/>
    </row>
    <row r="33" spans="1:37" hidden="1">
      <c r="B33" s="283">
        <f>Inputs!B95</f>
        <v>0</v>
      </c>
      <c r="C33" s="251" t="s">
        <v>9</v>
      </c>
      <c r="D33" s="255">
        <f>Inputs!D95</f>
        <v>0</v>
      </c>
      <c r="E33" s="358">
        <f>Inputs!E95</f>
        <v>0</v>
      </c>
      <c r="F33" s="124">
        <f>Inputs!R95</f>
        <v>0</v>
      </c>
      <c r="G33" s="264"/>
      <c r="H33" s="435">
        <f t="shared" si="11"/>
        <v>0</v>
      </c>
      <c r="I33" s="750">
        <f t="shared" si="12"/>
        <v>0</v>
      </c>
      <c r="K33" s="416"/>
      <c r="L33" s="416"/>
      <c r="M33" s="416"/>
      <c r="N33" s="416"/>
      <c r="O33" s="416"/>
      <c r="P33" s="416"/>
      <c r="Q33" s="416"/>
      <c r="R33" s="416"/>
      <c r="S33" s="416"/>
      <c r="T33" s="416"/>
      <c r="U33" s="416"/>
      <c r="V33" s="416"/>
      <c r="W33" s="416"/>
      <c r="X33" s="416"/>
      <c r="Y33" s="221"/>
      <c r="Z33" s="221"/>
      <c r="AA33" s="221"/>
    </row>
    <row r="34" spans="1:37" ht="27" customHeight="1" thickBot="1">
      <c r="B34" s="172" t="s">
        <v>36</v>
      </c>
      <c r="C34" s="834" t="s">
        <v>117</v>
      </c>
      <c r="D34" s="835"/>
      <c r="E34" s="835"/>
      <c r="F34" s="835"/>
      <c r="G34" s="836"/>
      <c r="H34" s="436">
        <f>(SUM(H22,H25:H27,H29:H33,H40:H48)/2+H13)*Inputs!E111*Inputs!G30/365</f>
        <v>2506.3482657158847</v>
      </c>
      <c r="I34" s="754">
        <f>IF(B34="","",IF(($C$4+$C$5)=0,"",H34/($C$4+$C$5)))</f>
        <v>9.8288167282975873</v>
      </c>
      <c r="K34" s="416"/>
      <c r="L34" s="416"/>
      <c r="M34" s="416"/>
      <c r="N34" s="416"/>
      <c r="O34" s="416"/>
      <c r="P34" s="416"/>
      <c r="Q34" s="416"/>
      <c r="R34" s="416"/>
      <c r="S34" s="416"/>
      <c r="T34" s="416"/>
      <c r="U34" s="416"/>
      <c r="V34" s="416"/>
      <c r="W34" s="416"/>
      <c r="X34" s="416"/>
      <c r="Y34" s="221"/>
      <c r="Z34" s="221"/>
      <c r="AA34" s="221"/>
    </row>
    <row r="35" spans="1:37" ht="14.25" thickTop="1" thickBot="1">
      <c r="B35" s="252"/>
      <c r="C35" s="243"/>
      <c r="D35" s="258"/>
      <c r="E35" s="258"/>
      <c r="F35" s="281"/>
      <c r="G35" s="258" t="s">
        <v>144</v>
      </c>
      <c r="H35" s="483">
        <f>SUM(H25:H34)</f>
        <v>4638.8834961988705</v>
      </c>
      <c r="I35" s="561">
        <f>SUM(I25:I34)</f>
        <v>18.191699985093614</v>
      </c>
      <c r="K35" s="416"/>
      <c r="L35" s="416"/>
      <c r="M35" s="416"/>
      <c r="N35" s="416"/>
      <c r="O35" s="416"/>
      <c r="P35" s="416"/>
      <c r="Q35" s="416"/>
      <c r="R35" s="416"/>
      <c r="S35" s="416"/>
      <c r="T35" s="416"/>
      <c r="U35" s="416"/>
      <c r="V35" s="416"/>
      <c r="W35" s="416"/>
      <c r="X35" s="416"/>
      <c r="Y35" s="221"/>
      <c r="Z35" s="221"/>
      <c r="AA35" s="221"/>
    </row>
    <row r="36" spans="1:37" ht="13.5" thickBot="1">
      <c r="B36" s="123"/>
      <c r="C36" s="96"/>
      <c r="D36" s="42"/>
      <c r="E36" s="42"/>
      <c r="F36" s="42"/>
      <c r="G36" s="21" t="s">
        <v>103</v>
      </c>
      <c r="H36" s="484">
        <f>H13+H22+H35</f>
        <v>269913.07992477028</v>
      </c>
      <c r="I36" s="618">
        <f>I13+I22+I35</f>
        <v>1058.4826663716483</v>
      </c>
      <c r="Y36" s="221"/>
      <c r="Z36" s="221"/>
      <c r="AA36" s="221"/>
    </row>
    <row r="37" spans="1:37" ht="13.5" thickBot="1">
      <c r="B37" s="49"/>
      <c r="C37" s="49"/>
      <c r="D37" s="49"/>
      <c r="E37" s="49"/>
      <c r="F37" s="58"/>
      <c r="G37" s="58"/>
      <c r="H37" s="485"/>
      <c r="I37" s="619" t="str">
        <f>IF(H37=0,"",H37/$C$5)</f>
        <v/>
      </c>
      <c r="Y37" s="221"/>
      <c r="Z37" s="221"/>
      <c r="AA37" s="221"/>
    </row>
    <row r="38" spans="1:37" ht="26.25" thickBot="1">
      <c r="B38" s="41" t="s">
        <v>108</v>
      </c>
      <c r="C38" s="108"/>
      <c r="D38" s="109"/>
      <c r="E38" s="109"/>
      <c r="F38" s="109"/>
      <c r="G38" s="109"/>
      <c r="H38" s="476" t="s">
        <v>73</v>
      </c>
      <c r="I38" s="611" t="s">
        <v>93</v>
      </c>
      <c r="Y38" s="221"/>
      <c r="Z38" s="221"/>
      <c r="AA38" s="221"/>
    </row>
    <row r="39" spans="1:37">
      <c r="B39" s="79" t="s">
        <v>38</v>
      </c>
      <c r="C39" s="31"/>
      <c r="D39" s="39" t="s">
        <v>14</v>
      </c>
      <c r="E39" s="39"/>
      <c r="F39" s="39" t="s">
        <v>47</v>
      </c>
      <c r="G39" s="82"/>
      <c r="H39" s="486" t="s">
        <v>30</v>
      </c>
      <c r="I39" s="620" t="s">
        <v>30</v>
      </c>
      <c r="Y39" s="221"/>
      <c r="Z39" s="221"/>
      <c r="AA39" s="221"/>
    </row>
    <row r="40" spans="1:37">
      <c r="B40" s="48" t="str">
        <f>Inputs!B100</f>
        <v>Machinery (Livestock)</v>
      </c>
      <c r="C40" s="31"/>
      <c r="D40" s="365">
        <f>Inputs!G100</f>
        <v>2000</v>
      </c>
      <c r="E40" s="56"/>
      <c r="F40" s="80">
        <f>IF(D40=0,0,Inputs!R100)</f>
        <v>0</v>
      </c>
      <c r="G40" s="93"/>
      <c r="H40" s="435">
        <f>IF(B40="","",D40*F40)</f>
        <v>0</v>
      </c>
      <c r="I40" s="750">
        <f>IF(B40="","",IF(($C$4+$C$5)=0,"",H40/($C$4+$C$5)))</f>
        <v>0</v>
      </c>
      <c r="Y40" s="221"/>
      <c r="Z40" s="221"/>
      <c r="AA40" s="221"/>
    </row>
    <row r="41" spans="1:37" ht="15" customHeight="1">
      <c r="B41" s="249" t="str">
        <f>Inputs!B101</f>
        <v>Vehicles</v>
      </c>
      <c r="C41" s="31"/>
      <c r="D41" s="365">
        <f>Inputs!G101</f>
        <v>1000</v>
      </c>
      <c r="E41" s="56"/>
      <c r="F41" s="263">
        <f>IF(D41=0,0,Inputs!R101)</f>
        <v>0.6</v>
      </c>
      <c r="G41" s="93"/>
      <c r="H41" s="435">
        <f t="shared" ref="H41:H48" si="13">IF(B41="","",D41*F41)</f>
        <v>600</v>
      </c>
      <c r="I41" s="750">
        <f t="shared" ref="I41:I48" si="14">IF(B41="","",IF(($C$4+$C$5)=0,"",H41/($C$4+$C$5)))</f>
        <v>2.3529411764705883</v>
      </c>
      <c r="Y41" s="221"/>
      <c r="Z41" s="221"/>
      <c r="AA41" s="221"/>
    </row>
    <row r="42" spans="1:37">
      <c r="B42" s="283" t="str">
        <f>Inputs!B102</f>
        <v>Barn</v>
      </c>
      <c r="C42" s="49"/>
      <c r="D42" s="365">
        <f>Inputs!G102</f>
        <v>500</v>
      </c>
      <c r="E42" s="56"/>
      <c r="F42" s="263">
        <f>IF(D42=0,0,Inputs!R102)</f>
        <v>0</v>
      </c>
      <c r="G42" s="93"/>
      <c r="H42" s="435">
        <f t="shared" si="13"/>
        <v>0</v>
      </c>
      <c r="I42" s="750">
        <f t="shared" si="14"/>
        <v>0</v>
      </c>
      <c r="Y42" s="221"/>
      <c r="Z42" s="221"/>
      <c r="AA42" s="221"/>
    </row>
    <row r="43" spans="1:37">
      <c r="B43" s="283">
        <f>Inputs!B103</f>
        <v>0</v>
      </c>
      <c r="C43" s="49"/>
      <c r="D43" s="365">
        <f>Inputs!G103</f>
        <v>0</v>
      </c>
      <c r="E43" s="56"/>
      <c r="F43" s="263">
        <f>IF(D43=0,0,Inputs!R103)</f>
        <v>0</v>
      </c>
      <c r="G43" s="93"/>
      <c r="H43" s="435">
        <f t="shared" si="13"/>
        <v>0</v>
      </c>
      <c r="I43" s="750">
        <f t="shared" si="14"/>
        <v>0</v>
      </c>
      <c r="Y43" s="221"/>
      <c r="Z43" s="221"/>
      <c r="AA43" s="221"/>
    </row>
    <row r="44" spans="1:37" s="238" customFormat="1" hidden="1">
      <c r="A44" s="276"/>
      <c r="B44" s="283">
        <f>Inputs!B104</f>
        <v>0</v>
      </c>
      <c r="C44" s="250"/>
      <c r="D44" s="365">
        <f>Inputs!G104</f>
        <v>0</v>
      </c>
      <c r="E44" s="255"/>
      <c r="F44" s="263">
        <f>IF(D44=0,0,Inputs!R104)</f>
        <v>0</v>
      </c>
      <c r="G44" s="271"/>
      <c r="H44" s="435">
        <f t="shared" si="13"/>
        <v>0</v>
      </c>
      <c r="I44" s="750">
        <f t="shared" si="14"/>
        <v>0</v>
      </c>
      <c r="J44" s="222"/>
      <c r="K44" s="222"/>
      <c r="L44" s="222"/>
      <c r="M44" s="222"/>
      <c r="N44" s="222"/>
      <c r="O44" s="222"/>
      <c r="P44" s="222"/>
      <c r="Q44" s="222"/>
      <c r="R44" s="222"/>
      <c r="S44" s="222"/>
      <c r="T44" s="222"/>
      <c r="U44" s="222"/>
      <c r="V44" s="222"/>
      <c r="W44" s="222"/>
      <c r="X44" s="222"/>
      <c r="Y44" s="221"/>
      <c r="Z44" s="221"/>
      <c r="AA44" s="221"/>
      <c r="AB44" s="276"/>
      <c r="AC44" s="276"/>
      <c r="AD44" s="276"/>
      <c r="AE44" s="276"/>
      <c r="AF44" s="276"/>
      <c r="AG44" s="276"/>
      <c r="AH44" s="276"/>
      <c r="AI44" s="276"/>
      <c r="AJ44" s="276"/>
      <c r="AK44" s="276"/>
    </row>
    <row r="45" spans="1:37" s="238" customFormat="1" hidden="1">
      <c r="A45" s="276"/>
      <c r="B45" s="283">
        <f>Inputs!B105</f>
        <v>0</v>
      </c>
      <c r="C45" s="250"/>
      <c r="D45" s="365">
        <f>Inputs!G105</f>
        <v>0</v>
      </c>
      <c r="E45" s="255"/>
      <c r="F45" s="263">
        <f>IF(D45=0,0,Inputs!R105)</f>
        <v>0</v>
      </c>
      <c r="G45" s="271"/>
      <c r="H45" s="435">
        <f t="shared" si="13"/>
        <v>0</v>
      </c>
      <c r="I45" s="750">
        <f t="shared" si="14"/>
        <v>0</v>
      </c>
      <c r="J45" s="222"/>
      <c r="K45" s="222"/>
      <c r="L45" s="222"/>
      <c r="M45" s="222"/>
      <c r="N45" s="222"/>
      <c r="O45" s="222"/>
      <c r="P45" s="222"/>
      <c r="Q45" s="222"/>
      <c r="R45" s="222"/>
      <c r="S45" s="222"/>
      <c r="T45" s="222"/>
      <c r="U45" s="222"/>
      <c r="V45" s="222"/>
      <c r="W45" s="222"/>
      <c r="X45" s="222"/>
      <c r="Y45" s="221"/>
      <c r="Z45" s="221"/>
      <c r="AA45" s="221"/>
      <c r="AB45" s="276"/>
      <c r="AC45" s="276"/>
      <c r="AD45" s="276"/>
      <c r="AE45" s="276"/>
      <c r="AF45" s="276"/>
      <c r="AG45" s="276"/>
      <c r="AH45" s="276"/>
      <c r="AI45" s="276"/>
      <c r="AJ45" s="276"/>
      <c r="AK45" s="276"/>
    </row>
    <row r="46" spans="1:37" s="190" customFormat="1" hidden="1">
      <c r="A46" s="220"/>
      <c r="B46" s="283">
        <f>Inputs!B106</f>
        <v>0</v>
      </c>
      <c r="C46" s="208"/>
      <c r="D46" s="365">
        <f>Inputs!G106</f>
        <v>0</v>
      </c>
      <c r="E46" s="212"/>
      <c r="F46" s="263">
        <f>IF(D46=0,0,Inputs!R106)</f>
        <v>0</v>
      </c>
      <c r="G46" s="93"/>
      <c r="H46" s="435">
        <f t="shared" si="13"/>
        <v>0</v>
      </c>
      <c r="I46" s="750">
        <f t="shared" si="14"/>
        <v>0</v>
      </c>
      <c r="J46" s="222"/>
      <c r="K46" s="222"/>
      <c r="L46" s="222"/>
      <c r="M46" s="222"/>
      <c r="N46" s="222"/>
      <c r="O46" s="222"/>
      <c r="P46" s="222"/>
      <c r="Q46" s="222"/>
      <c r="R46" s="222"/>
      <c r="S46" s="222"/>
      <c r="T46" s="222"/>
      <c r="U46" s="222"/>
      <c r="V46" s="222"/>
      <c r="W46" s="222"/>
      <c r="X46" s="222"/>
      <c r="Y46" s="221"/>
      <c r="Z46" s="221"/>
      <c r="AA46" s="221"/>
      <c r="AB46" s="276"/>
      <c r="AC46" s="276"/>
      <c r="AD46" s="276"/>
      <c r="AE46" s="276"/>
      <c r="AF46" s="276"/>
      <c r="AG46" s="276"/>
      <c r="AH46" s="276"/>
      <c r="AI46" s="276"/>
      <c r="AJ46" s="276"/>
      <c r="AK46" s="276"/>
    </row>
    <row r="47" spans="1:37" hidden="1">
      <c r="B47" s="283">
        <f>Inputs!B107</f>
        <v>0</v>
      </c>
      <c r="C47" s="49"/>
      <c r="D47" s="365">
        <f>Inputs!G107</f>
        <v>0</v>
      </c>
      <c r="E47" s="212"/>
      <c r="F47" s="263">
        <f>IF(D47=0,0,Inputs!R107)</f>
        <v>0</v>
      </c>
      <c r="G47" s="93"/>
      <c r="H47" s="435">
        <f t="shared" si="13"/>
        <v>0</v>
      </c>
      <c r="I47" s="750">
        <f t="shared" si="14"/>
        <v>0</v>
      </c>
      <c r="Y47" s="221"/>
      <c r="Z47" s="221"/>
      <c r="AA47" s="221"/>
    </row>
    <row r="48" spans="1:37" ht="13.5" thickBot="1">
      <c r="B48" s="283">
        <f>Inputs!B108</f>
        <v>0</v>
      </c>
      <c r="C48" s="49"/>
      <c r="D48" s="365">
        <f>Inputs!G108</f>
        <v>0</v>
      </c>
      <c r="E48" s="212"/>
      <c r="F48" s="263">
        <f>IF(D48=0,0,Inputs!R108)</f>
        <v>0</v>
      </c>
      <c r="G48" s="93"/>
      <c r="H48" s="436">
        <f t="shared" si="13"/>
        <v>0</v>
      </c>
      <c r="I48" s="751">
        <f t="shared" si="14"/>
        <v>0</v>
      </c>
      <c r="Y48" s="221"/>
      <c r="Z48" s="221"/>
      <c r="AA48" s="221"/>
    </row>
    <row r="49" spans="1:236" ht="13.5" thickTop="1">
      <c r="B49" s="48"/>
      <c r="C49" s="31"/>
      <c r="D49"/>
      <c r="E49" s="92"/>
      <c r="F49" s="92"/>
      <c r="G49" s="126" t="s">
        <v>111</v>
      </c>
      <c r="H49" s="487">
        <f>SUM(H40:H48)</f>
        <v>600</v>
      </c>
      <c r="I49" s="752">
        <f>SUM(I40:I48)</f>
        <v>2.3529411764705883</v>
      </c>
      <c r="Y49" s="221"/>
      <c r="Z49" s="221"/>
      <c r="AA49" s="221"/>
    </row>
    <row r="50" spans="1:236">
      <c r="B50" s="48"/>
      <c r="C50" s="31"/>
      <c r="D50" s="49"/>
      <c r="E50" s="49"/>
      <c r="F50" s="49"/>
      <c r="G50" s="49"/>
      <c r="H50" s="435"/>
      <c r="I50" s="470" t="str">
        <f>IF(H50=0,"",H50/$C$5)</f>
        <v/>
      </c>
      <c r="Y50" s="221"/>
      <c r="Z50" s="221"/>
      <c r="AA50" s="221"/>
    </row>
    <row r="51" spans="1:236">
      <c r="B51" s="79" t="s">
        <v>53</v>
      </c>
      <c r="C51" s="31"/>
      <c r="D51" s="39" t="s">
        <v>55</v>
      </c>
      <c r="E51" s="49"/>
      <c r="F51" s="39" t="s">
        <v>47</v>
      </c>
      <c r="G51" s="81"/>
      <c r="H51" s="482" t="s">
        <v>30</v>
      </c>
      <c r="I51" s="615" t="s">
        <v>30</v>
      </c>
      <c r="Y51" s="221"/>
      <c r="Z51" s="221"/>
      <c r="AA51" s="221"/>
    </row>
    <row r="52" spans="1:236">
      <c r="B52" s="48" t="str">
        <f>Inputs!B117</f>
        <v>Real Estate Tax</v>
      </c>
      <c r="C52" s="31"/>
      <c r="D52" s="446">
        <f>Inputs!E117</f>
        <v>0</v>
      </c>
      <c r="E52" s="49"/>
      <c r="F52" s="125">
        <f>IF(D52=0,0,Inputs!R117)</f>
        <v>0</v>
      </c>
      <c r="G52" s="81"/>
      <c r="H52" s="435">
        <f>F52*Inputs!E117</f>
        <v>0</v>
      </c>
      <c r="I52" s="750">
        <f>IF(B52="","",IF(($C$4+$C$5)=0,"",H52/($C$4+$C$5)))</f>
        <v>0</v>
      </c>
      <c r="Y52" s="221"/>
      <c r="Z52" s="221"/>
      <c r="AA52" s="221"/>
    </row>
    <row r="53" spans="1:236">
      <c r="B53" s="48" t="str">
        <f>Inputs!B118</f>
        <v>Annual Insurance Premium</v>
      </c>
      <c r="C53" s="31"/>
      <c r="D53" s="446">
        <f>Inputs!E118</f>
        <v>1500</v>
      </c>
      <c r="E53" s="49"/>
      <c r="F53" s="278">
        <f>IF(D53=0,0,Inputs!R118)</f>
        <v>6.1143331941745892E-2</v>
      </c>
      <c r="G53" s="81"/>
      <c r="H53" s="435">
        <f>F53*Inputs!E118</f>
        <v>91.714997912618841</v>
      </c>
      <c r="I53" s="750">
        <f>IF(B53="","",IF(($C$4+$C$5)=0,"",H53/($C$4+$C$5)))</f>
        <v>0.35966665848085821</v>
      </c>
      <c r="Y53" s="221"/>
      <c r="Z53" s="221"/>
      <c r="AA53" s="221"/>
    </row>
    <row r="54" spans="1:236">
      <c r="B54" s="48" t="str">
        <f>Inputs!B119</f>
        <v>Professional Fees</v>
      </c>
      <c r="C54" s="31"/>
      <c r="D54" s="446">
        <f>Inputs!E119</f>
        <v>750</v>
      </c>
      <c r="E54" s="49"/>
      <c r="F54" s="278">
        <f>IF(D54=0,0,Inputs!R119)</f>
        <v>6.1143331941745892E-2</v>
      </c>
      <c r="G54" s="81"/>
      <c r="H54" s="435">
        <f>F54*Inputs!E119</f>
        <v>45.857498956309421</v>
      </c>
      <c r="I54" s="750">
        <f>IF(B54="","",IF(($C$4+$C$5)=0,"",H54/($C$4+$C$5)))</f>
        <v>0.17983332924042911</v>
      </c>
      <c r="Y54" s="221"/>
      <c r="Z54" s="221"/>
      <c r="AA54" s="221"/>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c r="EO54" s="43"/>
      <c r="EP54" s="43"/>
      <c r="EQ54" s="43"/>
      <c r="ER54" s="43"/>
      <c r="ES54" s="43"/>
      <c r="ET54" s="43"/>
      <c r="EU54" s="43"/>
      <c r="EV54" s="43"/>
      <c r="EW54" s="43"/>
      <c r="EX54" s="43"/>
      <c r="EY54" s="43"/>
      <c r="EZ54" s="43"/>
      <c r="FA54" s="43"/>
      <c r="FB54" s="43"/>
      <c r="FC54" s="43"/>
      <c r="FD54" s="43"/>
      <c r="FE54" s="43"/>
      <c r="FF54" s="43"/>
      <c r="FG54" s="43"/>
      <c r="FH54" s="43"/>
      <c r="FI54" s="43"/>
      <c r="FJ54" s="43"/>
      <c r="FK54" s="43"/>
      <c r="FL54" s="43"/>
      <c r="FM54" s="43"/>
      <c r="FN54" s="43"/>
      <c r="FO54" s="43"/>
      <c r="FP54" s="43"/>
      <c r="FQ54" s="43"/>
      <c r="FR54" s="43"/>
      <c r="FS54" s="43"/>
      <c r="FT54" s="43"/>
      <c r="FU54" s="43"/>
      <c r="FV54" s="43"/>
      <c r="FW54" s="43"/>
      <c r="FX54" s="43"/>
      <c r="FY54" s="43"/>
      <c r="FZ54" s="43"/>
      <c r="GA54" s="43"/>
      <c r="GB54" s="43"/>
      <c r="GC54" s="43"/>
      <c r="GD54" s="43"/>
      <c r="GE54" s="43"/>
      <c r="GF54" s="43"/>
      <c r="GG54" s="43"/>
      <c r="GH54" s="43"/>
      <c r="GI54" s="43"/>
      <c r="GJ54" s="43"/>
      <c r="GK54" s="43"/>
      <c r="GL54" s="43"/>
      <c r="GM54" s="43"/>
      <c r="GN54" s="43"/>
      <c r="GO54" s="43"/>
      <c r="GP54" s="43"/>
      <c r="GQ54" s="43"/>
      <c r="GR54" s="43"/>
      <c r="GS54" s="43"/>
      <c r="GT54" s="43"/>
      <c r="GU54" s="43"/>
      <c r="GV54" s="43"/>
      <c r="GW54" s="43"/>
      <c r="GX54" s="43"/>
      <c r="GY54" s="43"/>
      <c r="GZ54" s="43"/>
      <c r="HA54" s="43"/>
      <c r="HB54" s="43"/>
      <c r="HC54" s="43"/>
      <c r="HD54" s="43"/>
      <c r="HE54" s="43"/>
      <c r="HF54" s="43"/>
      <c r="HG54" s="43"/>
      <c r="HH54" s="43"/>
      <c r="HI54" s="43"/>
      <c r="HJ54" s="43"/>
      <c r="HK54" s="43"/>
      <c r="HL54" s="43"/>
      <c r="HM54" s="43"/>
      <c r="HN54" s="43"/>
      <c r="HO54" s="43"/>
      <c r="HP54" s="43"/>
      <c r="HQ54" s="43"/>
      <c r="HR54" s="43"/>
      <c r="HS54" s="43"/>
      <c r="HT54" s="43"/>
      <c r="HU54" s="43"/>
      <c r="HV54" s="43"/>
      <c r="HW54" s="43"/>
      <c r="HX54" s="43"/>
      <c r="HY54" s="43"/>
      <c r="HZ54" s="43"/>
      <c r="IA54" s="43"/>
      <c r="IB54" s="43"/>
    </row>
    <row r="55" spans="1:236">
      <c r="B55" s="48" t="str">
        <f>Inputs!B120</f>
        <v>Annual Management Charge</v>
      </c>
      <c r="C55" s="31"/>
      <c r="D55" s="446">
        <f>Inputs!E120</f>
        <v>0</v>
      </c>
      <c r="E55" s="49"/>
      <c r="F55" s="278">
        <f>IF(D55=0,0,Inputs!R120)</f>
        <v>0</v>
      </c>
      <c r="G55" s="81"/>
      <c r="H55" s="435">
        <f>F55*Inputs!E120</f>
        <v>0</v>
      </c>
      <c r="I55" s="750">
        <f>IF(B55="","",IF(($C$4+$C$5)=0,"",H55/($C$4+$C$5)))</f>
        <v>0</v>
      </c>
      <c r="Y55" s="221"/>
      <c r="Z55" s="221"/>
      <c r="AA55" s="221"/>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c r="EO55" s="43"/>
      <c r="EP55" s="43"/>
      <c r="EQ55" s="43"/>
      <c r="ER55" s="43"/>
      <c r="ES55" s="43"/>
      <c r="ET55" s="43"/>
      <c r="EU55" s="43"/>
      <c r="EV55" s="43"/>
      <c r="EW55" s="43"/>
      <c r="EX55" s="43"/>
      <c r="EY55" s="43"/>
      <c r="EZ55" s="43"/>
      <c r="FA55" s="43"/>
      <c r="FB55" s="43"/>
      <c r="FC55" s="43"/>
      <c r="FD55" s="43"/>
      <c r="FE55" s="43"/>
      <c r="FF55" s="43"/>
      <c r="FG55" s="43"/>
      <c r="FH55" s="43"/>
      <c r="FI55" s="43"/>
      <c r="FJ55" s="43"/>
      <c r="FK55" s="43"/>
      <c r="FL55" s="43"/>
      <c r="FM55" s="43"/>
      <c r="FN55" s="43"/>
      <c r="FO55" s="43"/>
      <c r="FP55" s="43"/>
      <c r="FQ55" s="43"/>
      <c r="FR55" s="43"/>
      <c r="FS55" s="43"/>
      <c r="FT55" s="43"/>
      <c r="FU55" s="43"/>
      <c r="FV55" s="43"/>
      <c r="FW55" s="43"/>
      <c r="FX55" s="43"/>
      <c r="FY55" s="43"/>
      <c r="FZ55" s="43"/>
      <c r="GA55" s="43"/>
      <c r="GB55" s="43"/>
      <c r="GC55" s="43"/>
      <c r="GD55" s="43"/>
      <c r="GE55" s="43"/>
      <c r="GF55" s="43"/>
      <c r="GG55" s="43"/>
      <c r="GH55" s="43"/>
      <c r="GI55" s="43"/>
      <c r="GJ55" s="43"/>
      <c r="GK55" s="43"/>
      <c r="GL55" s="43"/>
      <c r="GM55" s="43"/>
      <c r="GN55" s="43"/>
      <c r="GO55" s="43"/>
      <c r="GP55" s="43"/>
      <c r="GQ55" s="43"/>
      <c r="GR55" s="43"/>
      <c r="GS55" s="43"/>
      <c r="GT55" s="43"/>
      <c r="GU55" s="43"/>
      <c r="GV55" s="43"/>
      <c r="GW55" s="43"/>
      <c r="GX55" s="43"/>
      <c r="GY55" s="43"/>
      <c r="GZ55" s="43"/>
      <c r="HA55" s="43"/>
      <c r="HB55" s="43"/>
      <c r="HC55" s="43"/>
      <c r="HD55" s="43"/>
      <c r="HE55" s="43"/>
      <c r="HF55" s="43"/>
      <c r="HG55" s="43"/>
      <c r="HH55" s="43"/>
      <c r="HI55" s="43"/>
      <c r="HJ55" s="43"/>
      <c r="HK55" s="43"/>
      <c r="HL55" s="43"/>
      <c r="HM55" s="43"/>
      <c r="HN55" s="43"/>
      <c r="HO55" s="43"/>
      <c r="HP55" s="43"/>
      <c r="HQ55" s="43"/>
      <c r="HR55" s="43"/>
      <c r="HS55" s="43"/>
      <c r="HT55" s="43"/>
      <c r="HU55" s="43"/>
      <c r="HV55" s="43"/>
      <c r="HW55" s="43"/>
      <c r="HX55" s="43"/>
      <c r="HY55" s="43"/>
      <c r="HZ55" s="43"/>
      <c r="IA55" s="43"/>
      <c r="IB55" s="43"/>
    </row>
    <row r="56" spans="1:236" ht="13.5" thickBot="1">
      <c r="B56" s="48" t="str">
        <f>Inputs!B121</f>
        <v>Other</v>
      </c>
      <c r="C56" s="31"/>
      <c r="D56" s="446">
        <f>Inputs!E121</f>
        <v>0</v>
      </c>
      <c r="E56" s="49"/>
      <c r="F56" s="278">
        <f>IF(D56=0,0,Inputs!R121)</f>
        <v>0</v>
      </c>
      <c r="G56" s="81"/>
      <c r="H56" s="488">
        <f>F56*Inputs!E121</f>
        <v>0</v>
      </c>
      <c r="I56" s="751">
        <f>IF(B56="","",IF(($C$4+$C$5)=0,"",H56/($C$4+$C$5)))</f>
        <v>0</v>
      </c>
      <c r="Y56" s="221"/>
      <c r="Z56" s="221"/>
      <c r="AA56" s="221"/>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c r="EO56" s="43"/>
      <c r="EP56" s="43"/>
      <c r="EQ56" s="43"/>
      <c r="ER56" s="43"/>
      <c r="ES56" s="43"/>
      <c r="ET56" s="43"/>
      <c r="EU56" s="43"/>
      <c r="EV56" s="43"/>
      <c r="EW56" s="43"/>
      <c r="EX56" s="43"/>
      <c r="EY56" s="43"/>
      <c r="EZ56" s="43"/>
      <c r="FA56" s="43"/>
      <c r="FB56" s="43"/>
      <c r="FC56" s="43"/>
      <c r="FD56" s="43"/>
      <c r="FE56" s="43"/>
      <c r="FF56" s="43"/>
      <c r="FG56" s="43"/>
      <c r="FH56" s="43"/>
      <c r="FI56" s="43"/>
      <c r="FJ56" s="43"/>
      <c r="FK56" s="43"/>
      <c r="FL56" s="43"/>
      <c r="FM56" s="43"/>
      <c r="FN56" s="43"/>
      <c r="FO56" s="43"/>
      <c r="FP56" s="43"/>
      <c r="FQ56" s="43"/>
      <c r="FR56" s="43"/>
      <c r="FS56" s="43"/>
      <c r="FT56" s="43"/>
      <c r="FU56" s="43"/>
      <c r="FV56" s="43"/>
      <c r="FW56" s="43"/>
      <c r="FX56" s="43"/>
      <c r="FY56" s="43"/>
      <c r="FZ56" s="43"/>
      <c r="GA56" s="43"/>
      <c r="GB56" s="43"/>
      <c r="GC56" s="43"/>
      <c r="GD56" s="43"/>
      <c r="GE56" s="43"/>
      <c r="GF56" s="43"/>
      <c r="GG56" s="43"/>
      <c r="GH56" s="43"/>
      <c r="GI56" s="43"/>
      <c r="GJ56" s="43"/>
      <c r="GK56" s="43"/>
      <c r="GL56" s="43"/>
      <c r="GM56" s="43"/>
      <c r="GN56" s="43"/>
      <c r="GO56" s="43"/>
      <c r="GP56" s="43"/>
      <c r="GQ56" s="43"/>
      <c r="GR56" s="43"/>
      <c r="GS56" s="43"/>
      <c r="GT56" s="43"/>
      <c r="GU56" s="43"/>
      <c r="GV56" s="43"/>
      <c r="GW56" s="43"/>
      <c r="GX56" s="43"/>
      <c r="GY56" s="43"/>
      <c r="GZ56" s="43"/>
      <c r="HA56" s="43"/>
      <c r="HB56" s="43"/>
      <c r="HC56" s="43"/>
      <c r="HD56" s="43"/>
      <c r="HE56" s="43"/>
      <c r="HF56" s="43"/>
      <c r="HG56" s="43"/>
      <c r="HH56" s="43"/>
      <c r="HI56" s="43"/>
      <c r="HJ56" s="43"/>
      <c r="HK56" s="43"/>
      <c r="HL56" s="43"/>
      <c r="HM56" s="43"/>
      <c r="HN56" s="43"/>
      <c r="HO56" s="43"/>
      <c r="HP56" s="43"/>
      <c r="HQ56" s="43"/>
      <c r="HR56" s="43"/>
      <c r="HS56" s="43"/>
      <c r="HT56" s="43"/>
      <c r="HU56" s="43"/>
      <c r="HV56" s="43"/>
      <c r="HW56" s="43"/>
      <c r="HX56" s="43"/>
      <c r="HY56" s="43"/>
      <c r="HZ56" s="43"/>
      <c r="IA56" s="43"/>
      <c r="IB56" s="43"/>
    </row>
    <row r="57" spans="1:236" ht="14.25" thickTop="1" thickBot="1">
      <c r="B57" s="51"/>
      <c r="C57" s="34"/>
      <c r="D57" s="52"/>
      <c r="E57" s="52"/>
      <c r="F57"/>
      <c r="G57" s="59" t="s">
        <v>42</v>
      </c>
      <c r="H57" s="489">
        <f>SUM(H52:H56)</f>
        <v>137.57249686892825</v>
      </c>
      <c r="I57" s="753">
        <f>SUM(I52:I56)</f>
        <v>0.53949998772128738</v>
      </c>
      <c r="K57" s="223"/>
      <c r="Y57" s="221"/>
      <c r="Z57" s="221"/>
      <c r="AA57" s="221"/>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c r="EO57" s="43"/>
      <c r="EP57" s="43"/>
      <c r="EQ57" s="43"/>
      <c r="ER57" s="43"/>
      <c r="ES57" s="43"/>
      <c r="ET57" s="43"/>
      <c r="EU57" s="43"/>
      <c r="EV57" s="43"/>
      <c r="EW57" s="43"/>
      <c r="EX57" s="43"/>
      <c r="EY57" s="43"/>
      <c r="EZ57" s="43"/>
      <c r="FA57" s="43"/>
      <c r="FB57" s="43"/>
      <c r="FC57" s="43"/>
      <c r="FD57" s="43"/>
      <c r="FE57" s="43"/>
      <c r="FF57" s="43"/>
      <c r="FG57" s="43"/>
      <c r="FH57" s="43"/>
      <c r="FI57" s="43"/>
      <c r="FJ57" s="43"/>
      <c r="FK57" s="43"/>
      <c r="FL57" s="43"/>
      <c r="FM57" s="43"/>
      <c r="FN57" s="43"/>
      <c r="FO57" s="43"/>
      <c r="FP57" s="43"/>
      <c r="FQ57" s="43"/>
      <c r="FR57" s="43"/>
      <c r="FS57" s="43"/>
      <c r="FT57" s="43"/>
      <c r="FU57" s="43"/>
      <c r="FV57" s="43"/>
      <c r="FW57" s="43"/>
      <c r="FX57" s="43"/>
      <c r="FY57" s="43"/>
      <c r="FZ57" s="43"/>
      <c r="GA57" s="43"/>
      <c r="GB57" s="43"/>
      <c r="GC57" s="43"/>
      <c r="GD57" s="43"/>
      <c r="GE57" s="43"/>
      <c r="GF57" s="43"/>
      <c r="GG57" s="43"/>
      <c r="GH57" s="43"/>
      <c r="GI57" s="43"/>
      <c r="GJ57" s="43"/>
      <c r="GK57" s="43"/>
      <c r="GL57" s="43"/>
      <c r="GM57" s="43"/>
      <c r="GN57" s="43"/>
      <c r="GO57" s="43"/>
      <c r="GP57" s="43"/>
      <c r="GQ57" s="43"/>
      <c r="GR57" s="43"/>
      <c r="GS57" s="43"/>
      <c r="GT57" s="43"/>
      <c r="GU57" s="43"/>
      <c r="GV57" s="43"/>
      <c r="GW57" s="43"/>
      <c r="GX57" s="43"/>
      <c r="GY57" s="43"/>
      <c r="GZ57" s="43"/>
      <c r="HA57" s="43"/>
      <c r="HB57" s="43"/>
      <c r="HC57" s="43"/>
      <c r="HD57" s="43"/>
      <c r="HE57" s="43"/>
      <c r="HF57" s="43"/>
      <c r="HG57" s="43"/>
      <c r="HH57" s="43"/>
      <c r="HI57" s="43"/>
      <c r="HJ57" s="43"/>
      <c r="HK57" s="43"/>
      <c r="HL57" s="43"/>
      <c r="HM57" s="43"/>
      <c r="HN57" s="43"/>
      <c r="HO57" s="43"/>
      <c r="HP57" s="43"/>
      <c r="HQ57" s="43"/>
      <c r="HR57" s="43"/>
      <c r="HS57" s="43"/>
      <c r="HT57" s="43"/>
      <c r="HU57" s="43"/>
      <c r="HV57" s="43"/>
      <c r="HW57" s="43"/>
      <c r="HX57" s="43"/>
      <c r="HY57" s="43"/>
      <c r="HZ57" s="43"/>
      <c r="IA57" s="43"/>
      <c r="IB57" s="43"/>
    </row>
    <row r="58" spans="1:236" ht="13.5" thickBot="1">
      <c r="B58" s="99">
        <v>217480.06701030929</v>
      </c>
      <c r="C58" s="96"/>
      <c r="D58" s="42"/>
      <c r="E58" s="42"/>
      <c r="F58" s="42"/>
      <c r="G58" s="21" t="s">
        <v>102</v>
      </c>
      <c r="H58" s="484">
        <f>H49+H57</f>
        <v>737.57249686892828</v>
      </c>
      <c r="I58" s="621">
        <f>I49+I57</f>
        <v>2.8924411641918759</v>
      </c>
      <c r="J58" s="160"/>
      <c r="Y58" s="221"/>
      <c r="Z58" s="221"/>
      <c r="AA58" s="221"/>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c r="EO58" s="43"/>
      <c r="EP58" s="43"/>
      <c r="EQ58" s="43"/>
      <c r="ER58" s="43"/>
      <c r="ES58" s="43"/>
      <c r="ET58" s="43"/>
      <c r="EU58" s="43"/>
      <c r="EV58" s="43"/>
      <c r="EW58" s="43"/>
      <c r="EX58" s="43"/>
      <c r="EY58" s="43"/>
      <c r="EZ58" s="43"/>
      <c r="FA58" s="43"/>
      <c r="FB58" s="43"/>
      <c r="FC58" s="43"/>
      <c r="FD58" s="43"/>
      <c r="FE58" s="43"/>
      <c r="FF58" s="43"/>
      <c r="FG58" s="43"/>
      <c r="FH58" s="43"/>
      <c r="FI58" s="43"/>
      <c r="FJ58" s="43"/>
      <c r="FK58" s="43"/>
      <c r="FL58" s="43"/>
      <c r="FM58" s="43"/>
      <c r="FN58" s="43"/>
      <c r="FO58" s="43"/>
      <c r="FP58" s="43"/>
      <c r="FQ58" s="43"/>
      <c r="FR58" s="43"/>
      <c r="FS58" s="43"/>
      <c r="FT58" s="43"/>
      <c r="FU58" s="43"/>
      <c r="FV58" s="43"/>
      <c r="FW58" s="43"/>
      <c r="FX58" s="43"/>
      <c r="FY58" s="43"/>
      <c r="FZ58" s="43"/>
      <c r="GA58" s="43"/>
      <c r="GB58" s="43"/>
      <c r="GC58" s="43"/>
      <c r="GD58" s="43"/>
      <c r="GE58" s="43"/>
      <c r="GF58" s="43"/>
      <c r="GG58" s="43"/>
      <c r="GH58" s="43"/>
      <c r="GI58" s="43"/>
      <c r="GJ58" s="43"/>
      <c r="GK58" s="43"/>
      <c r="GL58" s="43"/>
      <c r="GM58" s="43"/>
      <c r="GN58" s="43"/>
      <c r="GO58" s="43"/>
      <c r="GP58" s="43"/>
      <c r="GQ58" s="43"/>
      <c r="GR58" s="43"/>
      <c r="GS58" s="43"/>
      <c r="GT58" s="43"/>
      <c r="GU58" s="43"/>
      <c r="GV58" s="43"/>
      <c r="GW58" s="43"/>
      <c r="GX58" s="43"/>
      <c r="GY58" s="43"/>
      <c r="GZ58" s="43"/>
      <c r="HA58" s="43"/>
      <c r="HB58" s="43"/>
      <c r="HC58" s="43"/>
      <c r="HD58" s="43"/>
      <c r="HE58" s="43"/>
      <c r="HF58" s="43"/>
      <c r="HG58" s="43"/>
      <c r="HH58" s="43"/>
      <c r="HI58" s="43"/>
      <c r="HJ58" s="43"/>
      <c r="HK58" s="43"/>
      <c r="HL58" s="43"/>
      <c r="HM58" s="43"/>
      <c r="HN58" s="43"/>
      <c r="HO58" s="43"/>
      <c r="HP58" s="43"/>
      <c r="HQ58" s="43"/>
      <c r="HR58" s="43"/>
      <c r="HS58" s="43"/>
      <c r="HT58" s="43"/>
      <c r="HU58" s="43"/>
      <c r="HV58" s="43"/>
      <c r="HW58" s="43"/>
      <c r="HX58" s="43"/>
      <c r="HY58" s="43"/>
      <c r="HZ58" s="43"/>
      <c r="IA58" s="43"/>
      <c r="IB58" s="43"/>
    </row>
    <row r="59" spans="1:236" ht="13.5" thickBot="1">
      <c r="B59" s="43"/>
      <c r="C59" s="43"/>
      <c r="D59" s="43"/>
      <c r="E59" s="43"/>
      <c r="F59" s="43"/>
      <c r="G59" s="43"/>
      <c r="H59" s="490"/>
      <c r="I59" s="610" t="str">
        <f>IF(H59=0,"",H59/$C$5)</f>
        <v/>
      </c>
      <c r="Y59" s="221"/>
      <c r="Z59" s="221"/>
      <c r="AA59" s="221"/>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c r="EO59" s="43"/>
      <c r="EP59" s="43"/>
      <c r="EQ59" s="43"/>
      <c r="ER59" s="43"/>
      <c r="ES59" s="43"/>
      <c r="ET59" s="43"/>
      <c r="EU59" s="43"/>
      <c r="EV59" s="43"/>
      <c r="EW59" s="43"/>
      <c r="EX59" s="43"/>
      <c r="EY59" s="43"/>
      <c r="EZ59" s="43"/>
      <c r="FA59" s="43"/>
      <c r="FB59" s="43"/>
      <c r="FC59" s="43"/>
      <c r="FD59" s="43"/>
      <c r="FE59" s="43"/>
      <c r="FF59" s="43"/>
      <c r="FG59" s="43"/>
      <c r="FH59" s="43"/>
      <c r="FI59" s="43"/>
      <c r="FJ59" s="43"/>
      <c r="FK59" s="43"/>
      <c r="FL59" s="43"/>
      <c r="FM59" s="43"/>
      <c r="FN59" s="43"/>
      <c r="FO59" s="43"/>
      <c r="FP59" s="43"/>
      <c r="FQ59" s="43"/>
      <c r="FR59" s="43"/>
      <c r="FS59" s="43"/>
      <c r="FT59" s="43"/>
      <c r="FU59" s="43"/>
      <c r="FV59" s="43"/>
      <c r="FW59" s="43"/>
      <c r="FX59" s="43"/>
      <c r="FY59" s="43"/>
      <c r="FZ59" s="43"/>
      <c r="GA59" s="43"/>
      <c r="GB59" s="43"/>
      <c r="GC59" s="43"/>
      <c r="GD59" s="43"/>
      <c r="GE59" s="43"/>
      <c r="GF59" s="43"/>
      <c r="GG59" s="43"/>
      <c r="GH59" s="43"/>
      <c r="GI59" s="43"/>
      <c r="GJ59" s="43"/>
      <c r="GK59" s="43"/>
      <c r="GL59" s="43"/>
      <c r="GM59" s="43"/>
      <c r="GN59" s="43"/>
      <c r="GO59" s="43"/>
      <c r="GP59" s="43"/>
      <c r="GQ59" s="43"/>
      <c r="GR59" s="43"/>
      <c r="GS59" s="43"/>
      <c r="GT59" s="43"/>
      <c r="GU59" s="43"/>
      <c r="GV59" s="43"/>
      <c r="GW59" s="43"/>
      <c r="GX59" s="43"/>
      <c r="GY59" s="43"/>
      <c r="GZ59" s="43"/>
      <c r="HA59" s="43"/>
      <c r="HB59" s="43"/>
      <c r="HC59" s="43"/>
      <c r="HD59" s="43"/>
      <c r="HE59" s="43"/>
      <c r="HF59" s="43"/>
      <c r="HG59" s="43"/>
      <c r="HH59" s="43"/>
      <c r="HI59" s="43"/>
      <c r="HJ59" s="43"/>
      <c r="HK59" s="43"/>
      <c r="HL59" s="43"/>
      <c r="HM59" s="43"/>
      <c r="HN59" s="43"/>
      <c r="HO59" s="43"/>
      <c r="HP59" s="43"/>
      <c r="HQ59" s="43"/>
      <c r="HR59" s="43"/>
      <c r="HS59" s="43"/>
      <c r="HT59" s="43"/>
      <c r="HU59" s="43"/>
      <c r="HV59" s="43"/>
      <c r="HW59" s="43"/>
      <c r="HX59" s="43"/>
      <c r="HY59" s="43"/>
      <c r="HZ59" s="43"/>
      <c r="IA59" s="43"/>
      <c r="IB59" s="43"/>
    </row>
    <row r="60" spans="1:236" ht="13.5" thickBot="1">
      <c r="B60" s="98"/>
      <c r="C60" s="96"/>
      <c r="D60" s="67"/>
      <c r="E60" s="67"/>
      <c r="F60" s="67"/>
      <c r="G60" s="21" t="s">
        <v>110</v>
      </c>
      <c r="H60" s="484">
        <f>H36+H58</f>
        <v>270650.65242163918</v>
      </c>
      <c r="I60" s="621">
        <f>I36+I58</f>
        <v>1061.3751075358402</v>
      </c>
      <c r="Y60" s="221"/>
      <c r="Z60" s="221"/>
      <c r="AA60" s="221"/>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c r="EO60" s="43"/>
      <c r="EP60" s="43"/>
      <c r="EQ60" s="43"/>
      <c r="ER60" s="43"/>
      <c r="ES60" s="43"/>
      <c r="ET60" s="43"/>
      <c r="EU60" s="43"/>
      <c r="EV60" s="43"/>
      <c r="EW60" s="43"/>
      <c r="EX60" s="43"/>
      <c r="EY60" s="43"/>
      <c r="EZ60" s="43"/>
      <c r="FA60" s="43"/>
      <c r="FB60" s="43"/>
      <c r="FC60" s="43"/>
      <c r="FD60" s="43"/>
      <c r="FE60" s="43"/>
      <c r="FF60" s="43"/>
      <c r="FG60" s="43"/>
      <c r="FH60" s="43"/>
      <c r="FI60" s="43"/>
      <c r="FJ60" s="43"/>
      <c r="FK60" s="43"/>
      <c r="FL60" s="43"/>
      <c r="FM60" s="43"/>
      <c r="FN60" s="43"/>
      <c r="FO60" s="43"/>
      <c r="FP60" s="43"/>
      <c r="FQ60" s="43"/>
      <c r="FR60" s="43"/>
      <c r="FS60" s="43"/>
      <c r="FT60" s="43"/>
      <c r="FU60" s="43"/>
      <c r="FV60" s="43"/>
      <c r="FW60" s="43"/>
      <c r="FX60" s="43"/>
      <c r="FY60" s="43"/>
      <c r="FZ60" s="43"/>
      <c r="GA60" s="43"/>
      <c r="GB60" s="43"/>
      <c r="GC60" s="43"/>
      <c r="GD60" s="43"/>
      <c r="GE60" s="43"/>
      <c r="GF60" s="43"/>
      <c r="GG60" s="43"/>
      <c r="GH60" s="43"/>
      <c r="GI60" s="43"/>
      <c r="GJ60" s="43"/>
      <c r="GK60" s="43"/>
      <c r="GL60" s="43"/>
      <c r="GM60" s="43"/>
      <c r="GN60" s="43"/>
      <c r="GO60" s="43"/>
      <c r="GP60" s="43"/>
      <c r="GQ60" s="43"/>
      <c r="GR60" s="43"/>
      <c r="GS60" s="43"/>
      <c r="GT60" s="43"/>
      <c r="GU60" s="43"/>
      <c r="GV60" s="43"/>
      <c r="GW60" s="43"/>
      <c r="GX60" s="43"/>
      <c r="GY60" s="43"/>
      <c r="GZ60" s="43"/>
      <c r="HA60" s="43"/>
      <c r="HB60" s="43"/>
      <c r="HC60" s="43"/>
      <c r="HD60" s="43"/>
      <c r="HE60" s="43"/>
      <c r="HF60" s="43"/>
      <c r="HG60" s="43"/>
      <c r="HH60" s="43"/>
      <c r="HI60" s="43"/>
      <c r="HJ60" s="43"/>
      <c r="HK60" s="43"/>
      <c r="HL60" s="43"/>
      <c r="HM60" s="43"/>
      <c r="HN60" s="43"/>
      <c r="HO60" s="43"/>
      <c r="HP60" s="43"/>
      <c r="HQ60" s="43"/>
      <c r="HR60" s="43"/>
      <c r="HS60" s="43"/>
      <c r="HT60" s="43"/>
      <c r="HU60" s="43"/>
      <c r="HV60" s="43"/>
      <c r="HW60" s="43"/>
      <c r="HX60" s="43"/>
      <c r="HY60" s="43"/>
      <c r="HZ60" s="43"/>
      <c r="IA60" s="43"/>
      <c r="IB60" s="43"/>
    </row>
    <row r="61" spans="1:236" ht="13.5" thickBot="1">
      <c r="B61" s="104"/>
      <c r="C61" s="104"/>
      <c r="D61" s="104"/>
      <c r="E61" s="104"/>
      <c r="F61" s="104"/>
      <c r="G61" s="104"/>
      <c r="H61" s="491"/>
      <c r="I61" s="622"/>
      <c r="Y61" s="221"/>
      <c r="Z61" s="221"/>
      <c r="AA61" s="221"/>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c r="EO61" s="43"/>
      <c r="EP61" s="43"/>
      <c r="EQ61" s="43"/>
      <c r="ER61" s="43"/>
      <c r="ES61" s="43"/>
      <c r="ET61" s="43"/>
      <c r="EU61" s="43"/>
      <c r="EV61" s="43"/>
      <c r="EW61" s="43"/>
      <c r="EX61" s="43"/>
      <c r="EY61" s="43"/>
      <c r="EZ61" s="43"/>
      <c r="FA61" s="43"/>
      <c r="FB61" s="43"/>
      <c r="FC61" s="43"/>
      <c r="FD61" s="43"/>
      <c r="FE61" s="43"/>
      <c r="FF61" s="43"/>
      <c r="FG61" s="43"/>
      <c r="FH61" s="43"/>
      <c r="FI61" s="43"/>
      <c r="FJ61" s="43"/>
      <c r="FK61" s="43"/>
      <c r="FL61" s="43"/>
      <c r="FM61" s="43"/>
      <c r="FN61" s="43"/>
      <c r="FO61" s="43"/>
      <c r="FP61" s="43"/>
      <c r="FQ61" s="43"/>
      <c r="FR61" s="43"/>
      <c r="FS61" s="43"/>
      <c r="FT61" s="43"/>
      <c r="FU61" s="43"/>
      <c r="FV61" s="43"/>
      <c r="FW61" s="43"/>
      <c r="FX61" s="43"/>
      <c r="FY61" s="43"/>
      <c r="FZ61" s="43"/>
      <c r="GA61" s="43"/>
      <c r="GB61" s="43"/>
      <c r="GC61" s="43"/>
      <c r="GD61" s="43"/>
      <c r="GE61" s="43"/>
      <c r="GF61" s="43"/>
      <c r="GG61" s="43"/>
      <c r="GH61" s="43"/>
      <c r="GI61" s="43"/>
      <c r="GJ61" s="43"/>
      <c r="GK61" s="43"/>
      <c r="GL61" s="43"/>
      <c r="GM61" s="43"/>
      <c r="GN61" s="43"/>
      <c r="GO61" s="43"/>
      <c r="GP61" s="43"/>
      <c r="GQ61" s="43"/>
      <c r="GR61" s="43"/>
      <c r="GS61" s="43"/>
      <c r="GT61" s="43"/>
      <c r="GU61" s="43"/>
      <c r="GV61" s="43"/>
      <c r="GW61" s="43"/>
      <c r="GX61" s="43"/>
      <c r="GY61" s="43"/>
      <c r="GZ61" s="43"/>
      <c r="HA61" s="43"/>
      <c r="HB61" s="43"/>
      <c r="HC61" s="43"/>
      <c r="HD61" s="43"/>
      <c r="HE61" s="43"/>
      <c r="HF61" s="43"/>
      <c r="HG61" s="43"/>
      <c r="HH61" s="43"/>
      <c r="HI61" s="43"/>
      <c r="HJ61" s="43"/>
      <c r="HK61" s="43"/>
      <c r="HL61" s="43"/>
      <c r="HM61" s="43"/>
      <c r="HN61" s="43"/>
      <c r="HO61" s="43"/>
      <c r="HP61" s="43"/>
      <c r="HQ61" s="43"/>
      <c r="HR61" s="43"/>
      <c r="HS61" s="43"/>
      <c r="HT61" s="43"/>
      <c r="HU61" s="43"/>
      <c r="HV61" s="43"/>
      <c r="HW61" s="43"/>
      <c r="HX61" s="43"/>
      <c r="HY61" s="43"/>
      <c r="HZ61" s="43"/>
      <c r="IA61" s="43"/>
      <c r="IB61" s="43"/>
    </row>
    <row r="62" spans="1:236" ht="13.5" thickBot="1">
      <c r="B62" s="98"/>
      <c r="C62" s="96"/>
      <c r="D62" s="67"/>
      <c r="E62" s="67"/>
      <c r="F62" s="67"/>
      <c r="G62" s="21" t="s">
        <v>104</v>
      </c>
      <c r="H62" s="484">
        <f>H7-H60</f>
        <v>9154.3475783608155</v>
      </c>
      <c r="I62" s="621">
        <f>I7-I60</f>
        <v>35.899402268081303</v>
      </c>
      <c r="Y62" s="221"/>
      <c r="Z62" s="221"/>
      <c r="AA62" s="221"/>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c r="EO62" s="43"/>
      <c r="EP62" s="43"/>
      <c r="EQ62" s="43"/>
      <c r="ER62" s="43"/>
      <c r="ES62" s="43"/>
      <c r="ET62" s="43"/>
      <c r="EU62" s="43"/>
      <c r="EV62" s="43"/>
      <c r="EW62" s="43"/>
      <c r="EX62" s="43"/>
      <c r="EY62" s="43"/>
      <c r="EZ62" s="43"/>
      <c r="FA62" s="43"/>
      <c r="FB62" s="43"/>
      <c r="FC62" s="43"/>
      <c r="FD62" s="43"/>
      <c r="FE62" s="43"/>
      <c r="FF62" s="43"/>
      <c r="FG62" s="43"/>
      <c r="FH62" s="43"/>
      <c r="FI62" s="43"/>
      <c r="FJ62" s="43"/>
      <c r="FK62" s="43"/>
      <c r="FL62" s="43"/>
      <c r="FM62" s="43"/>
      <c r="FN62" s="43"/>
      <c r="FO62" s="43"/>
      <c r="FP62" s="43"/>
      <c r="FQ62" s="43"/>
      <c r="FR62" s="43"/>
      <c r="FS62" s="43"/>
      <c r="FT62" s="43"/>
      <c r="FU62" s="43"/>
      <c r="FV62" s="43"/>
      <c r="FW62" s="43"/>
      <c r="FX62" s="43"/>
      <c r="FY62" s="43"/>
      <c r="FZ62" s="43"/>
      <c r="GA62" s="43"/>
      <c r="GB62" s="43"/>
      <c r="GC62" s="43"/>
      <c r="GD62" s="43"/>
      <c r="GE62" s="43"/>
      <c r="GF62" s="43"/>
      <c r="GG62" s="43"/>
      <c r="GH62" s="43"/>
      <c r="GI62" s="43"/>
      <c r="GJ62" s="43"/>
      <c r="GK62" s="43"/>
      <c r="GL62" s="43"/>
      <c r="GM62" s="43"/>
      <c r="GN62" s="43"/>
      <c r="GO62" s="43"/>
      <c r="GP62" s="43"/>
      <c r="GQ62" s="43"/>
      <c r="GR62" s="43"/>
      <c r="GS62" s="43"/>
      <c r="GT62" s="43"/>
      <c r="GU62" s="43"/>
      <c r="GV62" s="43"/>
      <c r="GW62" s="43"/>
      <c r="GX62" s="43"/>
      <c r="GY62" s="43"/>
      <c r="GZ62" s="43"/>
      <c r="HA62" s="43"/>
      <c r="HB62" s="43"/>
      <c r="HC62" s="43"/>
      <c r="HD62" s="43"/>
      <c r="HE62" s="43"/>
      <c r="HF62" s="43"/>
      <c r="HG62" s="43"/>
      <c r="HH62" s="43"/>
      <c r="HI62" s="43"/>
      <c r="HJ62" s="43"/>
      <c r="HK62" s="43"/>
      <c r="HL62" s="43"/>
      <c r="HM62" s="43"/>
      <c r="HN62" s="43"/>
      <c r="HO62" s="43"/>
      <c r="HP62" s="43"/>
      <c r="HQ62" s="43"/>
      <c r="HR62" s="43"/>
      <c r="HS62" s="43"/>
      <c r="HT62" s="43"/>
      <c r="HU62" s="43"/>
      <c r="HV62" s="43"/>
      <c r="HW62" s="43"/>
      <c r="HX62" s="43"/>
      <c r="HY62" s="43"/>
      <c r="HZ62" s="43"/>
      <c r="IA62" s="43"/>
      <c r="IB62" s="43"/>
    </row>
    <row r="63" spans="1:236" s="130" customFormat="1" ht="13.5" thickBot="1">
      <c r="A63" s="152"/>
      <c r="B63" s="250"/>
      <c r="C63" s="250"/>
      <c r="D63" s="250"/>
      <c r="E63" s="250"/>
      <c r="F63" s="43"/>
      <c r="G63" s="43"/>
      <c r="H63" s="475"/>
      <c r="I63" s="610"/>
      <c r="J63" s="157"/>
      <c r="K63" s="222"/>
      <c r="L63" s="222"/>
      <c r="M63" s="222"/>
      <c r="N63" s="222"/>
      <c r="O63" s="222"/>
      <c r="P63" s="222"/>
      <c r="Q63" s="222"/>
      <c r="R63" s="222"/>
      <c r="S63" s="222"/>
      <c r="T63" s="222"/>
      <c r="U63" s="222"/>
      <c r="V63" s="222"/>
      <c r="W63" s="222"/>
      <c r="X63" s="222"/>
      <c r="Y63" s="221"/>
      <c r="Z63" s="221"/>
      <c r="AA63" s="221"/>
      <c r="AB63" s="276"/>
      <c r="AC63" s="276"/>
      <c r="AD63" s="276"/>
      <c r="AE63" s="276"/>
      <c r="AF63" s="276"/>
      <c r="AG63" s="276"/>
      <c r="AH63" s="276"/>
      <c r="AI63" s="276"/>
      <c r="AJ63" s="276"/>
      <c r="AK63" s="276"/>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c r="EO63" s="43"/>
      <c r="EP63" s="43"/>
      <c r="EQ63" s="43"/>
      <c r="ER63" s="43"/>
      <c r="ES63" s="43"/>
      <c r="ET63" s="43"/>
      <c r="EU63" s="43"/>
      <c r="EV63" s="43"/>
      <c r="EW63" s="43"/>
      <c r="EX63" s="43"/>
      <c r="EY63" s="43"/>
      <c r="EZ63" s="43"/>
      <c r="FA63" s="43"/>
      <c r="FB63" s="43"/>
      <c r="FC63" s="43"/>
      <c r="FD63" s="43"/>
      <c r="FE63" s="43"/>
      <c r="FF63" s="43"/>
      <c r="FG63" s="43"/>
      <c r="FH63" s="43"/>
      <c r="FI63" s="43"/>
      <c r="FJ63" s="43"/>
      <c r="FK63" s="43"/>
      <c r="FL63" s="43"/>
      <c r="FM63" s="43"/>
      <c r="FN63" s="43"/>
      <c r="FO63" s="43"/>
      <c r="FP63" s="43"/>
      <c r="FQ63" s="43"/>
      <c r="FR63" s="43"/>
      <c r="FS63" s="43"/>
      <c r="FT63" s="43"/>
      <c r="FU63" s="43"/>
      <c r="FV63" s="43"/>
      <c r="FW63" s="43"/>
      <c r="FX63" s="43"/>
      <c r="FY63" s="43"/>
      <c r="FZ63" s="43"/>
      <c r="GA63" s="43"/>
      <c r="GB63" s="43"/>
      <c r="GC63" s="43"/>
      <c r="GD63" s="43"/>
      <c r="GE63" s="43"/>
      <c r="GF63" s="43"/>
      <c r="GG63" s="43"/>
      <c r="GH63" s="43"/>
      <c r="GI63" s="43"/>
      <c r="GJ63" s="43"/>
      <c r="GK63" s="43"/>
      <c r="GL63" s="43"/>
      <c r="GM63" s="43"/>
      <c r="GN63" s="43"/>
      <c r="GO63" s="43"/>
      <c r="GP63" s="43"/>
      <c r="GQ63" s="43"/>
      <c r="GR63" s="43"/>
      <c r="GS63" s="43"/>
      <c r="GT63" s="43"/>
      <c r="GU63" s="43"/>
      <c r="GV63" s="43"/>
      <c r="GW63" s="43"/>
      <c r="GX63" s="43"/>
      <c r="GY63" s="43"/>
      <c r="GZ63" s="43"/>
      <c r="HA63" s="43"/>
      <c r="HB63" s="43"/>
      <c r="HC63" s="43"/>
      <c r="HD63" s="43"/>
      <c r="HE63" s="43"/>
      <c r="HF63" s="43"/>
      <c r="HG63" s="43"/>
      <c r="HH63" s="43"/>
      <c r="HI63" s="43"/>
      <c r="HJ63" s="43"/>
      <c r="HK63" s="43"/>
      <c r="HL63" s="43"/>
      <c r="HM63" s="43"/>
      <c r="HN63" s="43"/>
      <c r="HO63" s="43"/>
      <c r="HP63" s="43"/>
      <c r="HQ63" s="43"/>
      <c r="HR63" s="43"/>
      <c r="HS63" s="43"/>
      <c r="HT63" s="43"/>
      <c r="HU63" s="43"/>
      <c r="HV63" s="43"/>
      <c r="HW63" s="43"/>
      <c r="HX63" s="43"/>
      <c r="HY63" s="43"/>
      <c r="HZ63" s="43"/>
      <c r="IA63" s="43"/>
      <c r="IB63" s="43"/>
    </row>
    <row r="64" spans="1:236" s="130" customFormat="1" ht="26.25" thickBot="1">
      <c r="A64" s="155"/>
      <c r="B64" s="41" t="s">
        <v>97</v>
      </c>
      <c r="C64" s="108"/>
      <c r="D64" s="109"/>
      <c r="E64" s="109"/>
      <c r="F64" s="109"/>
      <c r="G64" s="109"/>
      <c r="H64" s="492" t="s">
        <v>73</v>
      </c>
      <c r="I64" s="624" t="s">
        <v>93</v>
      </c>
      <c r="J64" s="157"/>
      <c r="K64" s="222"/>
      <c r="L64" s="222"/>
      <c r="M64" s="222"/>
      <c r="N64" s="222"/>
      <c r="O64" s="222"/>
      <c r="P64" s="222"/>
      <c r="Q64" s="222"/>
      <c r="R64" s="222"/>
      <c r="S64" s="222"/>
      <c r="T64" s="222"/>
      <c r="U64" s="222"/>
      <c r="V64" s="222"/>
      <c r="W64" s="222"/>
      <c r="X64" s="222"/>
      <c r="Y64" s="221"/>
      <c r="Z64" s="221"/>
      <c r="AA64" s="221"/>
      <c r="AB64" s="276"/>
      <c r="AC64" s="276"/>
      <c r="AD64" s="276"/>
      <c r="AE64" s="276"/>
      <c r="AF64" s="276"/>
      <c r="AG64" s="276"/>
      <c r="AH64" s="276"/>
      <c r="AI64" s="276"/>
      <c r="AJ64" s="276"/>
      <c r="AK64" s="276"/>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c r="EO64" s="43"/>
      <c r="EP64" s="43"/>
      <c r="EQ64" s="43"/>
      <c r="ER64" s="43"/>
      <c r="ES64" s="43"/>
      <c r="ET64" s="43"/>
      <c r="EU64" s="43"/>
      <c r="EV64" s="43"/>
      <c r="EW64" s="43"/>
      <c r="EX64" s="43"/>
      <c r="EY64" s="43"/>
      <c r="EZ64" s="43"/>
      <c r="FA64" s="43"/>
      <c r="FB64" s="43"/>
      <c r="FC64" s="43"/>
      <c r="FD64" s="43"/>
      <c r="FE64" s="43"/>
      <c r="FF64" s="43"/>
      <c r="FG64" s="43"/>
      <c r="FH64" s="43"/>
      <c r="FI64" s="43"/>
      <c r="FJ64" s="43"/>
      <c r="FK64" s="43"/>
      <c r="FL64" s="43"/>
      <c r="FM64" s="43"/>
      <c r="FN64" s="43"/>
      <c r="FO64" s="43"/>
      <c r="FP64" s="43"/>
      <c r="FQ64" s="43"/>
      <c r="FR64" s="43"/>
      <c r="FS64" s="43"/>
      <c r="FT64" s="43"/>
      <c r="FU64" s="43"/>
      <c r="FV64" s="43"/>
      <c r="FW64" s="43"/>
      <c r="FX64" s="43"/>
      <c r="FY64" s="43"/>
      <c r="FZ64" s="43"/>
      <c r="GA64" s="43"/>
      <c r="GB64" s="43"/>
      <c r="GC64" s="43"/>
      <c r="GD64" s="43"/>
      <c r="GE64" s="43"/>
      <c r="GF64" s="43"/>
      <c r="GG64" s="43"/>
      <c r="GH64" s="43"/>
      <c r="GI64" s="43"/>
      <c r="GJ64" s="43"/>
      <c r="GK64" s="43"/>
      <c r="GL64" s="43"/>
      <c r="GM64" s="43"/>
      <c r="GN64" s="43"/>
      <c r="GO64" s="43"/>
      <c r="GP64" s="43"/>
      <c r="GQ64" s="43"/>
      <c r="GR64" s="43"/>
      <c r="GS64" s="43"/>
      <c r="GT64" s="43"/>
      <c r="GU64" s="43"/>
      <c r="GV64" s="43"/>
      <c r="GW64" s="43"/>
      <c r="GX64" s="43"/>
      <c r="GY64" s="43"/>
      <c r="GZ64" s="43"/>
      <c r="HA64" s="43"/>
      <c r="HB64" s="43"/>
      <c r="HC64" s="43"/>
      <c r="HD64" s="43"/>
      <c r="HE64" s="43"/>
      <c r="HF64" s="43"/>
      <c r="HG64" s="43"/>
      <c r="HH64" s="43"/>
      <c r="HI64" s="43"/>
      <c r="HJ64" s="43"/>
      <c r="HK64" s="43"/>
      <c r="HL64" s="43"/>
      <c r="HM64" s="43"/>
      <c r="HN64" s="43"/>
      <c r="HO64" s="43"/>
      <c r="HP64" s="43"/>
      <c r="HQ64" s="43"/>
      <c r="HR64" s="43"/>
      <c r="HS64" s="43"/>
      <c r="HT64" s="43"/>
      <c r="HU64" s="43"/>
      <c r="HV64" s="43"/>
      <c r="HW64" s="43"/>
      <c r="HX64" s="43"/>
      <c r="HY64" s="43"/>
      <c r="HZ64" s="43"/>
      <c r="IA64" s="43"/>
      <c r="IB64" s="43"/>
    </row>
    <row r="65" spans="1:236" s="130" customFormat="1" ht="25.5">
      <c r="A65" s="152"/>
      <c r="B65" s="79" t="s">
        <v>113</v>
      </c>
      <c r="C65" s="31"/>
      <c r="D65" s="39" t="s">
        <v>45</v>
      </c>
      <c r="E65" s="127" t="s">
        <v>54</v>
      </c>
      <c r="F65" s="39" t="s">
        <v>47</v>
      </c>
      <c r="G65" s="39"/>
      <c r="H65" s="482" t="s">
        <v>30</v>
      </c>
      <c r="I65" s="615" t="s">
        <v>30</v>
      </c>
      <c r="J65" s="157"/>
      <c r="K65" s="222"/>
      <c r="L65" s="222"/>
      <c r="M65" s="222"/>
      <c r="N65" s="222"/>
      <c r="O65" s="222"/>
      <c r="P65" s="222"/>
      <c r="Q65" s="222"/>
      <c r="R65" s="222"/>
      <c r="S65" s="222"/>
      <c r="T65" s="222"/>
      <c r="U65" s="222"/>
      <c r="V65" s="222"/>
      <c r="W65" s="222"/>
      <c r="X65" s="222"/>
      <c r="Y65" s="221"/>
      <c r="Z65" s="221"/>
      <c r="AA65" s="221"/>
      <c r="AB65" s="276"/>
      <c r="AC65" s="276"/>
      <c r="AD65" s="276"/>
      <c r="AE65" s="276"/>
      <c r="AF65" s="276"/>
      <c r="AG65" s="276"/>
      <c r="AH65" s="276"/>
      <c r="AI65" s="276"/>
      <c r="AJ65" s="276"/>
      <c r="AK65" s="276"/>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c r="EO65" s="43"/>
      <c r="EP65" s="43"/>
      <c r="EQ65" s="43"/>
      <c r="ER65" s="43"/>
      <c r="ES65" s="43"/>
      <c r="ET65" s="43"/>
      <c r="EU65" s="43"/>
      <c r="EV65" s="43"/>
      <c r="EW65" s="43"/>
      <c r="EX65" s="43"/>
      <c r="EY65" s="43"/>
      <c r="EZ65" s="43"/>
      <c r="FA65" s="43"/>
      <c r="FB65" s="43"/>
      <c r="FC65" s="43"/>
      <c r="FD65" s="43"/>
      <c r="FE65" s="43"/>
      <c r="FF65" s="43"/>
      <c r="FG65" s="43"/>
      <c r="FH65" s="43"/>
      <c r="FI65" s="43"/>
      <c r="FJ65" s="43"/>
      <c r="FK65" s="43"/>
      <c r="FL65" s="43"/>
      <c r="FM65" s="43"/>
      <c r="FN65" s="43"/>
      <c r="FO65" s="43"/>
      <c r="FP65" s="43"/>
      <c r="FQ65" s="43"/>
      <c r="FR65" s="43"/>
      <c r="FS65" s="43"/>
      <c r="FT65" s="43"/>
      <c r="FU65" s="43"/>
      <c r="FV65" s="43"/>
      <c r="FW65" s="43"/>
      <c r="FX65" s="43"/>
      <c r="FY65" s="43"/>
      <c r="FZ65" s="43"/>
      <c r="GA65" s="43"/>
      <c r="GB65" s="43"/>
      <c r="GC65" s="43"/>
      <c r="GD65" s="43"/>
      <c r="GE65" s="43"/>
      <c r="GF65" s="43"/>
      <c r="GG65" s="43"/>
      <c r="GH65" s="43"/>
      <c r="GI65" s="43"/>
      <c r="GJ65" s="43"/>
      <c r="GK65" s="43"/>
      <c r="GL65" s="43"/>
      <c r="GM65" s="43"/>
      <c r="GN65" s="43"/>
      <c r="GO65" s="43"/>
      <c r="GP65" s="43"/>
      <c r="GQ65" s="43"/>
      <c r="GR65" s="43"/>
      <c r="GS65" s="43"/>
      <c r="GT65" s="43"/>
      <c r="GU65" s="43"/>
      <c r="GV65" s="43"/>
      <c r="GW65" s="43"/>
      <c r="GX65" s="43"/>
      <c r="GY65" s="43"/>
      <c r="GZ65" s="43"/>
      <c r="HA65" s="43"/>
      <c r="HB65" s="43"/>
      <c r="HC65" s="43"/>
      <c r="HD65" s="43"/>
      <c r="HE65" s="43"/>
      <c r="HF65" s="43"/>
      <c r="HG65" s="43"/>
      <c r="HH65" s="43"/>
      <c r="HI65" s="43"/>
      <c r="HJ65" s="43"/>
      <c r="HK65" s="43"/>
      <c r="HL65" s="43"/>
      <c r="HM65" s="43"/>
      <c r="HN65" s="43"/>
      <c r="HO65" s="43"/>
      <c r="HP65" s="43"/>
      <c r="HQ65" s="43"/>
      <c r="HR65" s="43"/>
      <c r="HS65" s="43"/>
      <c r="HT65" s="43"/>
      <c r="HU65" s="43"/>
      <c r="HV65" s="43"/>
      <c r="HW65" s="43"/>
      <c r="HX65" s="43"/>
      <c r="HY65" s="43"/>
      <c r="HZ65" s="43"/>
      <c r="IA65" s="43"/>
      <c r="IB65" s="43"/>
    </row>
    <row r="66" spans="1:236" s="130" customFormat="1">
      <c r="A66" s="152"/>
      <c r="B66" s="48" t="str">
        <f>Inputs!B100</f>
        <v>Machinery (Livestock)</v>
      </c>
      <c r="C66" s="31"/>
      <c r="D66" s="365">
        <f>IF(Inputs!F100=0,0,(Inputs!D100-Inputs!E100)/Inputs!F100)</f>
        <v>7500</v>
      </c>
      <c r="E66" s="364">
        <f>Inputs!D100*Inputs!$E$112</f>
        <v>3000</v>
      </c>
      <c r="F66" s="80">
        <f>IF(SUM(D66:E66)=0,0,Inputs!R100)</f>
        <v>0</v>
      </c>
      <c r="G66" s="56"/>
      <c r="H66" s="433">
        <f>(D66+E66)*F66</f>
        <v>0</v>
      </c>
      <c r="I66" s="750">
        <f t="shared" ref="I66:I75" si="15">IF(B66="","",IF(($C$4+$C$5)=0,"",H66/($C$4+$C$5)))</f>
        <v>0</v>
      </c>
      <c r="J66" s="157"/>
      <c r="K66" s="222"/>
      <c r="L66" s="222"/>
      <c r="M66" s="222"/>
      <c r="N66" s="222"/>
      <c r="O66" s="222"/>
      <c r="P66" s="222"/>
      <c r="Q66" s="222"/>
      <c r="R66" s="222"/>
      <c r="S66" s="222"/>
      <c r="T66" s="222"/>
      <c r="U66" s="222"/>
      <c r="V66" s="222"/>
      <c r="W66" s="222"/>
      <c r="X66" s="222"/>
      <c r="Y66" s="221"/>
      <c r="Z66" s="221"/>
      <c r="AA66" s="221"/>
      <c r="AB66" s="276"/>
      <c r="AC66" s="276"/>
      <c r="AD66" s="276"/>
      <c r="AE66" s="276"/>
      <c r="AF66" s="276"/>
      <c r="AG66" s="276"/>
      <c r="AH66" s="276"/>
      <c r="AI66" s="276"/>
      <c r="AJ66" s="276"/>
      <c r="AK66" s="276"/>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c r="EO66" s="43"/>
      <c r="EP66" s="43"/>
      <c r="EQ66" s="43"/>
      <c r="ER66" s="43"/>
      <c r="ES66" s="43"/>
      <c r="ET66" s="43"/>
      <c r="EU66" s="43"/>
      <c r="EV66" s="43"/>
      <c r="EW66" s="43"/>
      <c r="EX66" s="43"/>
      <c r="EY66" s="43"/>
      <c r="EZ66" s="43"/>
      <c r="FA66" s="43"/>
      <c r="FB66" s="43"/>
      <c r="FC66" s="43"/>
      <c r="FD66" s="43"/>
      <c r="FE66" s="43"/>
      <c r="FF66" s="43"/>
      <c r="FG66" s="43"/>
      <c r="FH66" s="43"/>
      <c r="FI66" s="43"/>
      <c r="FJ66" s="43"/>
      <c r="FK66" s="43"/>
      <c r="FL66" s="43"/>
      <c r="FM66" s="43"/>
      <c r="FN66" s="43"/>
      <c r="FO66" s="43"/>
      <c r="FP66" s="43"/>
      <c r="FQ66" s="43"/>
      <c r="FR66" s="43"/>
      <c r="FS66" s="43"/>
      <c r="FT66" s="43"/>
      <c r="FU66" s="43"/>
      <c r="FV66" s="43"/>
      <c r="FW66" s="43"/>
      <c r="FX66" s="43"/>
      <c r="FY66" s="43"/>
      <c r="FZ66" s="43"/>
      <c r="GA66" s="43"/>
      <c r="GB66" s="43"/>
      <c r="GC66" s="43"/>
      <c r="GD66" s="43"/>
      <c r="GE66" s="43"/>
      <c r="GF66" s="43"/>
      <c r="GG66" s="43"/>
      <c r="GH66" s="43"/>
      <c r="GI66" s="43"/>
      <c r="GJ66" s="43"/>
      <c r="GK66" s="43"/>
      <c r="GL66" s="43"/>
      <c r="GM66" s="43"/>
      <c r="GN66" s="43"/>
      <c r="GO66" s="43"/>
      <c r="GP66" s="43"/>
      <c r="GQ66" s="43"/>
      <c r="GR66" s="43"/>
      <c r="GS66" s="43"/>
      <c r="GT66" s="43"/>
      <c r="GU66" s="43"/>
      <c r="GV66" s="43"/>
      <c r="GW66" s="43"/>
      <c r="GX66" s="43"/>
      <c r="GY66" s="43"/>
      <c r="GZ66" s="43"/>
      <c r="HA66" s="43"/>
      <c r="HB66" s="43"/>
      <c r="HC66" s="43"/>
      <c r="HD66" s="43"/>
      <c r="HE66" s="43"/>
      <c r="HF66" s="43"/>
      <c r="HG66" s="43"/>
      <c r="HH66" s="43"/>
      <c r="HI66" s="43"/>
      <c r="HJ66" s="43"/>
      <c r="HK66" s="43"/>
      <c r="HL66" s="43"/>
      <c r="HM66" s="43"/>
      <c r="HN66" s="43"/>
      <c r="HO66" s="43"/>
      <c r="HP66" s="43"/>
      <c r="HQ66" s="43"/>
      <c r="HR66" s="43"/>
      <c r="HS66" s="43"/>
      <c r="HT66" s="43"/>
      <c r="HU66" s="43"/>
      <c r="HV66" s="43"/>
      <c r="HW66" s="43"/>
      <c r="HX66" s="43"/>
      <c r="HY66" s="43"/>
      <c r="HZ66" s="43"/>
      <c r="IA66" s="43"/>
      <c r="IB66" s="43"/>
    </row>
    <row r="67" spans="1:236" s="130" customFormat="1">
      <c r="A67" s="152"/>
      <c r="B67" s="249" t="str">
        <f>Inputs!B101</f>
        <v>Vehicles</v>
      </c>
      <c r="C67" s="31"/>
      <c r="D67" s="365">
        <f>IF(Inputs!F101=0,0,(Inputs!D101-Inputs!E101)/Inputs!F101)</f>
        <v>2857.1428571428573</v>
      </c>
      <c r="E67" s="364">
        <f>Inputs!D101*Inputs!$E$112</f>
        <v>900</v>
      </c>
      <c r="F67" s="263">
        <f>IF(SUM(D67:E67)=0,0,Inputs!R101)</f>
        <v>0.6</v>
      </c>
      <c r="G67" s="56"/>
      <c r="H67" s="433">
        <f t="shared" ref="H67:H73" si="16">(D67+E67)*F67</f>
        <v>2254.2857142857142</v>
      </c>
      <c r="I67" s="750">
        <f t="shared" si="15"/>
        <v>8.8403361344537821</v>
      </c>
      <c r="J67" s="157"/>
      <c r="K67" s="222"/>
      <c r="L67" s="222"/>
      <c r="M67" s="222"/>
      <c r="N67" s="222"/>
      <c r="O67" s="222"/>
      <c r="P67" s="222"/>
      <c r="Q67" s="222"/>
      <c r="R67" s="222"/>
      <c r="S67" s="222"/>
      <c r="T67" s="222"/>
      <c r="U67" s="222"/>
      <c r="V67" s="222"/>
      <c r="W67" s="222"/>
      <c r="X67" s="222"/>
      <c r="Y67" s="221"/>
      <c r="Z67" s="221"/>
      <c r="AA67" s="221"/>
      <c r="AB67" s="276"/>
      <c r="AC67" s="276"/>
      <c r="AD67" s="276"/>
      <c r="AE67" s="276"/>
      <c r="AF67" s="276"/>
      <c r="AG67" s="276"/>
      <c r="AH67" s="276"/>
      <c r="AI67" s="276"/>
      <c r="AJ67" s="276"/>
      <c r="AK67" s="276"/>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c r="EO67" s="43"/>
      <c r="EP67" s="43"/>
      <c r="EQ67" s="43"/>
      <c r="ER67" s="43"/>
      <c r="ES67" s="43"/>
      <c r="ET67" s="43"/>
      <c r="EU67" s="43"/>
      <c r="EV67" s="43"/>
      <c r="EW67" s="43"/>
      <c r="EX67" s="43"/>
      <c r="EY67" s="43"/>
      <c r="EZ67" s="43"/>
      <c r="FA67" s="43"/>
      <c r="FB67" s="43"/>
      <c r="FC67" s="43"/>
      <c r="FD67" s="43"/>
      <c r="FE67" s="43"/>
      <c r="FF67" s="43"/>
      <c r="FG67" s="43"/>
      <c r="FH67" s="43"/>
      <c r="FI67" s="43"/>
      <c r="FJ67" s="43"/>
      <c r="FK67" s="43"/>
      <c r="FL67" s="43"/>
      <c r="FM67" s="43"/>
      <c r="FN67" s="43"/>
      <c r="FO67" s="43"/>
      <c r="FP67" s="43"/>
      <c r="FQ67" s="43"/>
      <c r="FR67" s="43"/>
      <c r="FS67" s="43"/>
      <c r="FT67" s="43"/>
      <c r="FU67" s="43"/>
      <c r="FV67" s="43"/>
      <c r="FW67" s="43"/>
      <c r="FX67" s="43"/>
      <c r="FY67" s="43"/>
      <c r="FZ67" s="43"/>
      <c r="GA67" s="43"/>
      <c r="GB67" s="43"/>
      <c r="GC67" s="43"/>
      <c r="GD67" s="43"/>
      <c r="GE67" s="43"/>
      <c r="GF67" s="43"/>
      <c r="GG67" s="43"/>
      <c r="GH67" s="43"/>
      <c r="GI67" s="43"/>
      <c r="GJ67" s="43"/>
      <c r="GK67" s="43"/>
      <c r="GL67" s="43"/>
      <c r="GM67" s="43"/>
      <c r="GN67" s="43"/>
      <c r="GO67" s="43"/>
      <c r="GP67" s="43"/>
      <c r="GQ67" s="43"/>
      <c r="GR67" s="43"/>
      <c r="GS67" s="43"/>
      <c r="GT67" s="43"/>
      <c r="GU67" s="43"/>
      <c r="GV67" s="43"/>
      <c r="GW67" s="43"/>
      <c r="GX67" s="43"/>
      <c r="GY67" s="43"/>
      <c r="GZ67" s="43"/>
      <c r="HA67" s="43"/>
      <c r="HB67" s="43"/>
      <c r="HC67" s="43"/>
      <c r="HD67" s="43"/>
      <c r="HE67" s="43"/>
      <c r="HF67" s="43"/>
      <c r="HG67" s="43"/>
      <c r="HH67" s="43"/>
      <c r="HI67" s="43"/>
      <c r="HJ67" s="43"/>
      <c r="HK67" s="43"/>
      <c r="HL67" s="43"/>
      <c r="HM67" s="43"/>
      <c r="HN67" s="43"/>
      <c r="HO67" s="43"/>
      <c r="HP67" s="43"/>
      <c r="HQ67" s="43"/>
      <c r="HR67" s="43"/>
      <c r="HS67" s="43"/>
      <c r="HT67" s="43"/>
      <c r="HU67" s="43"/>
      <c r="HV67" s="43"/>
      <c r="HW67" s="43"/>
      <c r="HX67" s="43"/>
      <c r="HY67" s="43"/>
      <c r="HZ67" s="43"/>
      <c r="IA67" s="43"/>
      <c r="IB67" s="43"/>
    </row>
    <row r="68" spans="1:236" s="130" customFormat="1">
      <c r="A68" s="152"/>
      <c r="B68" s="283" t="str">
        <f>Inputs!B102</f>
        <v>Barn</v>
      </c>
      <c r="C68" s="49"/>
      <c r="D68" s="365">
        <f>IF(Inputs!F102=0,0,(Inputs!D102-Inputs!E102)/Inputs!F102)</f>
        <v>1000</v>
      </c>
      <c r="E68" s="364">
        <f>Inputs!D102*Inputs!$E$112</f>
        <v>900</v>
      </c>
      <c r="F68" s="263">
        <f>IF(SUM(D68:E68)=0,0,Inputs!R102)</f>
        <v>0</v>
      </c>
      <c r="G68" s="56"/>
      <c r="H68" s="433">
        <f t="shared" si="16"/>
        <v>0</v>
      </c>
      <c r="I68" s="750">
        <f t="shared" si="15"/>
        <v>0</v>
      </c>
      <c r="J68" s="157"/>
      <c r="K68" s="222"/>
      <c r="L68" s="222"/>
      <c r="M68" s="222"/>
      <c r="N68" s="222"/>
      <c r="O68" s="222"/>
      <c r="P68" s="222"/>
      <c r="Q68" s="222"/>
      <c r="R68" s="222"/>
      <c r="S68" s="222"/>
      <c r="T68" s="222"/>
      <c r="U68" s="222"/>
      <c r="V68" s="222"/>
      <c r="W68" s="222"/>
      <c r="X68" s="222"/>
      <c r="Y68" s="221"/>
      <c r="Z68" s="221"/>
      <c r="AA68" s="221"/>
      <c r="AB68" s="276"/>
      <c r="AC68" s="276"/>
      <c r="AD68" s="276"/>
      <c r="AE68" s="276"/>
      <c r="AF68" s="276"/>
      <c r="AG68" s="276"/>
      <c r="AH68" s="276"/>
      <c r="AI68" s="276"/>
      <c r="AJ68" s="276"/>
      <c r="AK68" s="276"/>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c r="EO68" s="43"/>
      <c r="EP68" s="43"/>
      <c r="EQ68" s="43"/>
      <c r="ER68" s="43"/>
      <c r="ES68" s="43"/>
      <c r="ET68" s="43"/>
      <c r="EU68" s="43"/>
      <c r="EV68" s="43"/>
      <c r="EW68" s="43"/>
      <c r="EX68" s="43"/>
      <c r="EY68" s="43"/>
      <c r="EZ68" s="43"/>
      <c r="FA68" s="43"/>
      <c r="FB68" s="43"/>
      <c r="FC68" s="43"/>
      <c r="FD68" s="43"/>
      <c r="FE68" s="43"/>
      <c r="FF68" s="43"/>
      <c r="FG68" s="43"/>
      <c r="FH68" s="43"/>
      <c r="FI68" s="43"/>
      <c r="FJ68" s="43"/>
      <c r="FK68" s="43"/>
      <c r="FL68" s="43"/>
      <c r="FM68" s="43"/>
      <c r="FN68" s="43"/>
      <c r="FO68" s="43"/>
      <c r="FP68" s="43"/>
      <c r="FQ68" s="43"/>
      <c r="FR68" s="43"/>
      <c r="FS68" s="43"/>
      <c r="FT68" s="43"/>
      <c r="FU68" s="43"/>
      <c r="FV68" s="43"/>
      <c r="FW68" s="43"/>
      <c r="FX68" s="43"/>
      <c r="FY68" s="43"/>
      <c r="FZ68" s="43"/>
      <c r="GA68" s="43"/>
      <c r="GB68" s="43"/>
      <c r="GC68" s="43"/>
      <c r="GD68" s="43"/>
      <c r="GE68" s="43"/>
      <c r="GF68" s="43"/>
      <c r="GG68" s="43"/>
      <c r="GH68" s="43"/>
      <c r="GI68" s="43"/>
      <c r="GJ68" s="43"/>
      <c r="GK68" s="43"/>
      <c r="GL68" s="43"/>
      <c r="GM68" s="43"/>
      <c r="GN68" s="43"/>
      <c r="GO68" s="43"/>
      <c r="GP68" s="43"/>
      <c r="GQ68" s="43"/>
      <c r="GR68" s="43"/>
      <c r="GS68" s="43"/>
      <c r="GT68" s="43"/>
      <c r="GU68" s="43"/>
      <c r="GV68" s="43"/>
      <c r="GW68" s="43"/>
      <c r="GX68" s="43"/>
      <c r="GY68" s="43"/>
      <c r="GZ68" s="43"/>
      <c r="HA68" s="43"/>
      <c r="HB68" s="43"/>
      <c r="HC68" s="43"/>
      <c r="HD68" s="43"/>
      <c r="HE68" s="43"/>
      <c r="HF68" s="43"/>
      <c r="HG68" s="43"/>
      <c r="HH68" s="43"/>
      <c r="HI68" s="43"/>
      <c r="HJ68" s="43"/>
      <c r="HK68" s="43"/>
      <c r="HL68" s="43"/>
      <c r="HM68" s="43"/>
      <c r="HN68" s="43"/>
      <c r="HO68" s="43"/>
      <c r="HP68" s="43"/>
      <c r="HQ68" s="43"/>
      <c r="HR68" s="43"/>
      <c r="HS68" s="43"/>
      <c r="HT68" s="43"/>
      <c r="HU68" s="43"/>
      <c r="HV68" s="43"/>
      <c r="HW68" s="43"/>
      <c r="HX68" s="43"/>
      <c r="HY68" s="43"/>
      <c r="HZ68" s="43"/>
      <c r="IA68" s="43"/>
      <c r="IB68" s="43"/>
    </row>
    <row r="69" spans="1:236" s="130" customFormat="1">
      <c r="A69" s="152"/>
      <c r="B69" s="283">
        <f>Inputs!B103</f>
        <v>0</v>
      </c>
      <c r="C69" s="49"/>
      <c r="D69" s="365">
        <f>IF(Inputs!F103=0,0,(Inputs!D103-Inputs!E103)/Inputs!F103)</f>
        <v>0</v>
      </c>
      <c r="E69" s="364">
        <f>Inputs!D103*Inputs!$E$112</f>
        <v>0</v>
      </c>
      <c r="F69" s="263">
        <f>IF(SUM(D69:E69)=0,0,Inputs!R103)</f>
        <v>0</v>
      </c>
      <c r="G69" s="56"/>
      <c r="H69" s="433">
        <f t="shared" si="16"/>
        <v>0</v>
      </c>
      <c r="I69" s="750">
        <f t="shared" si="15"/>
        <v>0</v>
      </c>
      <c r="J69" s="157"/>
      <c r="K69" s="222"/>
      <c r="L69" s="222"/>
      <c r="M69" s="222"/>
      <c r="N69" s="222"/>
      <c r="O69" s="222"/>
      <c r="P69" s="222"/>
      <c r="Q69" s="222"/>
      <c r="R69" s="222"/>
      <c r="S69" s="222"/>
      <c r="T69" s="222"/>
      <c r="U69" s="222"/>
      <c r="V69" s="222"/>
      <c r="W69" s="222"/>
      <c r="X69" s="222"/>
      <c r="Y69" s="221"/>
      <c r="Z69" s="221"/>
      <c r="AA69" s="221"/>
      <c r="AB69" s="276"/>
      <c r="AC69" s="276"/>
      <c r="AD69" s="276"/>
      <c r="AE69" s="276"/>
      <c r="AF69" s="276"/>
      <c r="AG69" s="276"/>
      <c r="AH69" s="276"/>
      <c r="AI69" s="276"/>
      <c r="AJ69" s="276"/>
      <c r="AK69" s="276"/>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c r="EO69" s="43"/>
      <c r="EP69" s="43"/>
      <c r="EQ69" s="43"/>
      <c r="ER69" s="43"/>
      <c r="ES69" s="43"/>
      <c r="ET69" s="43"/>
      <c r="EU69" s="43"/>
      <c r="EV69" s="43"/>
      <c r="EW69" s="43"/>
      <c r="EX69" s="43"/>
      <c r="EY69" s="43"/>
      <c r="EZ69" s="43"/>
      <c r="FA69" s="43"/>
      <c r="FB69" s="43"/>
      <c r="FC69" s="43"/>
      <c r="FD69" s="43"/>
      <c r="FE69" s="43"/>
      <c r="FF69" s="43"/>
      <c r="FG69" s="43"/>
      <c r="FH69" s="43"/>
      <c r="FI69" s="43"/>
      <c r="FJ69" s="43"/>
      <c r="FK69" s="43"/>
      <c r="FL69" s="43"/>
      <c r="FM69" s="43"/>
      <c r="FN69" s="43"/>
      <c r="FO69" s="43"/>
      <c r="FP69" s="43"/>
      <c r="FQ69" s="43"/>
      <c r="FR69" s="43"/>
      <c r="FS69" s="43"/>
      <c r="FT69" s="43"/>
      <c r="FU69" s="43"/>
      <c r="FV69" s="43"/>
      <c r="FW69" s="43"/>
      <c r="FX69" s="43"/>
      <c r="FY69" s="43"/>
      <c r="FZ69" s="43"/>
      <c r="GA69" s="43"/>
      <c r="GB69" s="43"/>
      <c r="GC69" s="43"/>
      <c r="GD69" s="43"/>
      <c r="GE69" s="43"/>
      <c r="GF69" s="43"/>
      <c r="GG69" s="43"/>
      <c r="GH69" s="43"/>
      <c r="GI69" s="43"/>
      <c r="GJ69" s="43"/>
      <c r="GK69" s="43"/>
      <c r="GL69" s="43"/>
      <c r="GM69" s="43"/>
      <c r="GN69" s="43"/>
      <c r="GO69" s="43"/>
      <c r="GP69" s="43"/>
      <c r="GQ69" s="43"/>
      <c r="GR69" s="43"/>
      <c r="GS69" s="43"/>
      <c r="GT69" s="43"/>
      <c r="GU69" s="43"/>
      <c r="GV69" s="43"/>
      <c r="GW69" s="43"/>
      <c r="GX69" s="43"/>
      <c r="GY69" s="43"/>
      <c r="GZ69" s="43"/>
      <c r="HA69" s="43"/>
      <c r="HB69" s="43"/>
      <c r="HC69" s="43"/>
      <c r="HD69" s="43"/>
      <c r="HE69" s="43"/>
      <c r="HF69" s="43"/>
      <c r="HG69" s="43"/>
      <c r="HH69" s="43"/>
      <c r="HI69" s="43"/>
      <c r="HJ69" s="43"/>
      <c r="HK69" s="43"/>
      <c r="HL69" s="43"/>
      <c r="HM69" s="43"/>
      <c r="HN69" s="43"/>
      <c r="HO69" s="43"/>
      <c r="HP69" s="43"/>
      <c r="HQ69" s="43"/>
      <c r="HR69" s="43"/>
      <c r="HS69" s="43"/>
      <c r="HT69" s="43"/>
      <c r="HU69" s="43"/>
      <c r="HV69" s="43"/>
      <c r="HW69" s="43"/>
      <c r="HX69" s="43"/>
      <c r="HY69" s="43"/>
      <c r="HZ69" s="43"/>
      <c r="IA69" s="43"/>
      <c r="IB69" s="43"/>
    </row>
    <row r="70" spans="1:236" s="216" customFormat="1" hidden="1">
      <c r="A70" s="276"/>
      <c r="B70" s="283">
        <f>Inputs!B104</f>
        <v>0</v>
      </c>
      <c r="C70" s="250"/>
      <c r="D70" s="365">
        <f>IF(Inputs!F104=0,0,(Inputs!D104-Inputs!E104)/Inputs!F104)</f>
        <v>0</v>
      </c>
      <c r="E70" s="364">
        <f>Inputs!D104*Inputs!$E$112</f>
        <v>0</v>
      </c>
      <c r="F70" s="263">
        <f>IF(SUM(D70:E70)=0,0,Inputs!R104)</f>
        <v>0</v>
      </c>
      <c r="G70" s="255"/>
      <c r="H70" s="433"/>
      <c r="I70" s="750">
        <f t="shared" si="15"/>
        <v>0</v>
      </c>
      <c r="J70" s="222"/>
      <c r="K70" s="222"/>
      <c r="L70" s="222"/>
      <c r="M70" s="222"/>
      <c r="N70" s="222"/>
      <c r="O70" s="222"/>
      <c r="P70" s="222"/>
      <c r="Q70" s="222"/>
      <c r="R70" s="222"/>
      <c r="S70" s="222"/>
      <c r="T70" s="222"/>
      <c r="U70" s="222"/>
      <c r="V70" s="222"/>
      <c r="W70" s="222"/>
      <c r="X70" s="222"/>
      <c r="Y70" s="221"/>
      <c r="Z70" s="221"/>
      <c r="AA70" s="221"/>
      <c r="AB70" s="276"/>
      <c r="AC70" s="276"/>
      <c r="AD70" s="276"/>
      <c r="AE70" s="276"/>
      <c r="AF70" s="276"/>
      <c r="AG70" s="276"/>
      <c r="AH70" s="276"/>
      <c r="AI70" s="276"/>
      <c r="AJ70" s="276"/>
      <c r="AK70" s="276"/>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c r="EO70" s="43"/>
      <c r="EP70" s="43"/>
      <c r="EQ70" s="43"/>
      <c r="ER70" s="43"/>
      <c r="ES70" s="43"/>
      <c r="ET70" s="43"/>
      <c r="EU70" s="43"/>
      <c r="EV70" s="43"/>
      <c r="EW70" s="43"/>
      <c r="EX70" s="43"/>
      <c r="EY70" s="43"/>
      <c r="EZ70" s="43"/>
      <c r="FA70" s="43"/>
      <c r="FB70" s="43"/>
      <c r="FC70" s="43"/>
      <c r="FD70" s="43"/>
      <c r="FE70" s="43"/>
      <c r="FF70" s="43"/>
      <c r="FG70" s="43"/>
      <c r="FH70" s="43"/>
      <c r="FI70" s="43"/>
      <c r="FJ70" s="43"/>
      <c r="FK70" s="43"/>
      <c r="FL70" s="43"/>
      <c r="FM70" s="43"/>
      <c r="FN70" s="43"/>
      <c r="FO70" s="43"/>
      <c r="FP70" s="43"/>
      <c r="FQ70" s="43"/>
      <c r="FR70" s="43"/>
      <c r="FS70" s="43"/>
      <c r="FT70" s="43"/>
      <c r="FU70" s="43"/>
      <c r="FV70" s="43"/>
      <c r="FW70" s="43"/>
      <c r="FX70" s="43"/>
      <c r="FY70" s="43"/>
      <c r="FZ70" s="43"/>
      <c r="GA70" s="43"/>
      <c r="GB70" s="43"/>
      <c r="GC70" s="43"/>
      <c r="GD70" s="43"/>
      <c r="GE70" s="43"/>
      <c r="GF70" s="43"/>
      <c r="GG70" s="43"/>
      <c r="GH70" s="43"/>
      <c r="GI70" s="43"/>
      <c r="GJ70" s="43"/>
      <c r="GK70" s="43"/>
      <c r="GL70" s="43"/>
      <c r="GM70" s="43"/>
      <c r="GN70" s="43"/>
      <c r="GO70" s="43"/>
      <c r="GP70" s="43"/>
      <c r="GQ70" s="43"/>
      <c r="GR70" s="43"/>
      <c r="GS70" s="43"/>
      <c r="GT70" s="43"/>
      <c r="GU70" s="43"/>
      <c r="GV70" s="43"/>
      <c r="GW70" s="43"/>
      <c r="GX70" s="43"/>
      <c r="GY70" s="43"/>
      <c r="GZ70" s="43"/>
      <c r="HA70" s="43"/>
      <c r="HB70" s="43"/>
      <c r="HC70" s="43"/>
      <c r="HD70" s="43"/>
      <c r="HE70" s="43"/>
      <c r="HF70" s="43"/>
      <c r="HG70" s="43"/>
      <c r="HH70" s="43"/>
      <c r="HI70" s="43"/>
      <c r="HJ70" s="43"/>
      <c r="HK70" s="43"/>
      <c r="HL70" s="43"/>
      <c r="HM70" s="43"/>
      <c r="HN70" s="43"/>
      <c r="HO70" s="43"/>
      <c r="HP70" s="43"/>
      <c r="HQ70" s="43"/>
      <c r="HR70" s="43"/>
      <c r="HS70" s="43"/>
      <c r="HT70" s="43"/>
      <c r="HU70" s="43"/>
      <c r="HV70" s="43"/>
      <c r="HW70" s="43"/>
      <c r="HX70" s="43"/>
      <c r="HY70" s="43"/>
      <c r="HZ70" s="43"/>
      <c r="IA70" s="43"/>
      <c r="IB70" s="43"/>
    </row>
    <row r="71" spans="1:236" s="216" customFormat="1" hidden="1">
      <c r="A71" s="276"/>
      <c r="B71" s="283">
        <f>Inputs!B105</f>
        <v>0</v>
      </c>
      <c r="C71" s="250"/>
      <c r="D71" s="365">
        <f>IF(Inputs!F105=0,0,(Inputs!D105-Inputs!E105)/Inputs!F105)</f>
        <v>0</v>
      </c>
      <c r="E71" s="364">
        <f>Inputs!D105*Inputs!$E$112</f>
        <v>0</v>
      </c>
      <c r="F71" s="263">
        <f>IF(SUM(D71:E71)=0,0,Inputs!R105)</f>
        <v>0</v>
      </c>
      <c r="G71" s="255"/>
      <c r="H71" s="433"/>
      <c r="I71" s="750">
        <f t="shared" si="15"/>
        <v>0</v>
      </c>
      <c r="J71" s="222"/>
      <c r="K71" s="222"/>
      <c r="L71" s="222"/>
      <c r="M71" s="222"/>
      <c r="N71" s="222"/>
      <c r="O71" s="222"/>
      <c r="P71" s="222"/>
      <c r="Q71" s="222"/>
      <c r="R71" s="222"/>
      <c r="S71" s="222"/>
      <c r="T71" s="222"/>
      <c r="U71" s="222"/>
      <c r="V71" s="222"/>
      <c r="W71" s="222"/>
      <c r="X71" s="222"/>
      <c r="Y71" s="221"/>
      <c r="Z71" s="221"/>
      <c r="AA71" s="221"/>
      <c r="AB71" s="276"/>
      <c r="AC71" s="276"/>
      <c r="AD71" s="276"/>
      <c r="AE71" s="276"/>
      <c r="AF71" s="276"/>
      <c r="AG71" s="276"/>
      <c r="AH71" s="276"/>
      <c r="AI71" s="276"/>
      <c r="AJ71" s="276"/>
      <c r="AK71" s="276"/>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c r="EO71" s="43"/>
      <c r="EP71" s="43"/>
      <c r="EQ71" s="43"/>
      <c r="ER71" s="43"/>
      <c r="ES71" s="43"/>
      <c r="ET71" s="43"/>
      <c r="EU71" s="43"/>
      <c r="EV71" s="43"/>
      <c r="EW71" s="43"/>
      <c r="EX71" s="43"/>
      <c r="EY71" s="43"/>
      <c r="EZ71" s="43"/>
      <c r="FA71" s="43"/>
      <c r="FB71" s="43"/>
      <c r="FC71" s="43"/>
      <c r="FD71" s="43"/>
      <c r="FE71" s="43"/>
      <c r="FF71" s="43"/>
      <c r="FG71" s="43"/>
      <c r="FH71" s="43"/>
      <c r="FI71" s="43"/>
      <c r="FJ71" s="43"/>
      <c r="FK71" s="43"/>
      <c r="FL71" s="43"/>
      <c r="FM71" s="43"/>
      <c r="FN71" s="43"/>
      <c r="FO71" s="43"/>
      <c r="FP71" s="43"/>
      <c r="FQ71" s="43"/>
      <c r="FR71" s="43"/>
      <c r="FS71" s="43"/>
      <c r="FT71" s="43"/>
      <c r="FU71" s="43"/>
      <c r="FV71" s="43"/>
      <c r="FW71" s="43"/>
      <c r="FX71" s="43"/>
      <c r="FY71" s="43"/>
      <c r="FZ71" s="43"/>
      <c r="GA71" s="43"/>
      <c r="GB71" s="43"/>
      <c r="GC71" s="43"/>
      <c r="GD71" s="43"/>
      <c r="GE71" s="43"/>
      <c r="GF71" s="43"/>
      <c r="GG71" s="43"/>
      <c r="GH71" s="43"/>
      <c r="GI71" s="43"/>
      <c r="GJ71" s="43"/>
      <c r="GK71" s="43"/>
      <c r="GL71" s="43"/>
      <c r="GM71" s="43"/>
      <c r="GN71" s="43"/>
      <c r="GO71" s="43"/>
      <c r="GP71" s="43"/>
      <c r="GQ71" s="43"/>
      <c r="GR71" s="43"/>
      <c r="GS71" s="43"/>
      <c r="GT71" s="43"/>
      <c r="GU71" s="43"/>
      <c r="GV71" s="43"/>
      <c r="GW71" s="43"/>
      <c r="GX71" s="43"/>
      <c r="GY71" s="43"/>
      <c r="GZ71" s="43"/>
      <c r="HA71" s="43"/>
      <c r="HB71" s="43"/>
      <c r="HC71" s="43"/>
      <c r="HD71" s="43"/>
      <c r="HE71" s="43"/>
      <c r="HF71" s="43"/>
      <c r="HG71" s="43"/>
      <c r="HH71" s="43"/>
      <c r="HI71" s="43"/>
      <c r="HJ71" s="43"/>
      <c r="HK71" s="43"/>
      <c r="HL71" s="43"/>
      <c r="HM71" s="43"/>
      <c r="HN71" s="43"/>
      <c r="HO71" s="43"/>
      <c r="HP71" s="43"/>
      <c r="HQ71" s="43"/>
      <c r="HR71" s="43"/>
      <c r="HS71" s="43"/>
      <c r="HT71" s="43"/>
      <c r="HU71" s="43"/>
      <c r="HV71" s="43"/>
      <c r="HW71" s="43"/>
      <c r="HX71" s="43"/>
      <c r="HY71" s="43"/>
      <c r="HZ71" s="43"/>
      <c r="IA71" s="43"/>
      <c r="IB71" s="43"/>
    </row>
    <row r="72" spans="1:236" s="130" customFormat="1" hidden="1">
      <c r="A72" s="152"/>
      <c r="B72" s="283">
        <f>Inputs!B106</f>
        <v>0</v>
      </c>
      <c r="C72" s="49"/>
      <c r="D72" s="365">
        <f>IF(Inputs!F106=0,0,(Inputs!D106-Inputs!E106)/Inputs!F106)</f>
        <v>0</v>
      </c>
      <c r="E72" s="364">
        <f>Inputs!D106*Inputs!$E$112</f>
        <v>0</v>
      </c>
      <c r="F72" s="263">
        <f>IF(SUM(D72:E72)=0,0,Inputs!R106)</f>
        <v>0</v>
      </c>
      <c r="G72" s="56"/>
      <c r="H72" s="433">
        <f t="shared" si="16"/>
        <v>0</v>
      </c>
      <c r="I72" s="750">
        <f t="shared" si="15"/>
        <v>0</v>
      </c>
      <c r="J72" s="157"/>
      <c r="K72" s="222"/>
      <c r="L72" s="222"/>
      <c r="M72" s="222"/>
      <c r="N72" s="222"/>
      <c r="O72" s="222"/>
      <c r="P72" s="222"/>
      <c r="Q72" s="222"/>
      <c r="R72" s="222"/>
      <c r="S72" s="222"/>
      <c r="T72" s="222"/>
      <c r="U72" s="222"/>
      <c r="V72" s="222"/>
      <c r="W72" s="222"/>
      <c r="X72" s="222"/>
      <c r="Y72" s="221"/>
      <c r="Z72" s="221"/>
      <c r="AA72" s="221"/>
      <c r="AB72" s="276"/>
      <c r="AC72" s="276"/>
      <c r="AD72" s="276"/>
      <c r="AE72" s="276"/>
      <c r="AF72" s="276"/>
      <c r="AG72" s="276"/>
      <c r="AH72" s="276"/>
      <c r="AI72" s="276"/>
      <c r="AJ72" s="276"/>
      <c r="AK72" s="276"/>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c r="EO72" s="43"/>
      <c r="EP72" s="43"/>
      <c r="EQ72" s="43"/>
      <c r="ER72" s="43"/>
      <c r="ES72" s="43"/>
      <c r="ET72" s="43"/>
      <c r="EU72" s="43"/>
      <c r="EV72" s="43"/>
      <c r="EW72" s="43"/>
      <c r="EX72" s="43"/>
      <c r="EY72" s="43"/>
      <c r="EZ72" s="43"/>
      <c r="FA72" s="43"/>
      <c r="FB72" s="43"/>
      <c r="FC72" s="43"/>
      <c r="FD72" s="43"/>
      <c r="FE72" s="43"/>
      <c r="FF72" s="43"/>
      <c r="FG72" s="43"/>
      <c r="FH72" s="43"/>
      <c r="FI72" s="43"/>
      <c r="FJ72" s="43"/>
      <c r="FK72" s="43"/>
      <c r="FL72" s="43"/>
      <c r="FM72" s="43"/>
      <c r="FN72" s="43"/>
      <c r="FO72" s="43"/>
      <c r="FP72" s="43"/>
      <c r="FQ72" s="43"/>
      <c r="FR72" s="43"/>
      <c r="FS72" s="43"/>
      <c r="FT72" s="43"/>
      <c r="FU72" s="43"/>
      <c r="FV72" s="43"/>
      <c r="FW72" s="43"/>
      <c r="FX72" s="43"/>
      <c r="FY72" s="43"/>
      <c r="FZ72" s="43"/>
      <c r="GA72" s="43"/>
      <c r="GB72" s="43"/>
      <c r="GC72" s="43"/>
      <c r="GD72" s="43"/>
      <c r="GE72" s="43"/>
      <c r="GF72" s="43"/>
      <c r="GG72" s="43"/>
      <c r="GH72" s="43"/>
      <c r="GI72" s="43"/>
      <c r="GJ72" s="43"/>
      <c r="GK72" s="43"/>
      <c r="GL72" s="43"/>
      <c r="GM72" s="43"/>
      <c r="GN72" s="43"/>
      <c r="GO72" s="43"/>
      <c r="GP72" s="43"/>
      <c r="GQ72" s="43"/>
      <c r="GR72" s="43"/>
      <c r="GS72" s="43"/>
      <c r="GT72" s="43"/>
      <c r="GU72" s="43"/>
      <c r="GV72" s="43"/>
      <c r="GW72" s="43"/>
      <c r="GX72" s="43"/>
      <c r="GY72" s="43"/>
      <c r="GZ72" s="43"/>
      <c r="HA72" s="43"/>
      <c r="HB72" s="43"/>
      <c r="HC72" s="43"/>
      <c r="HD72" s="43"/>
      <c r="HE72" s="43"/>
      <c r="HF72" s="43"/>
      <c r="HG72" s="43"/>
      <c r="HH72" s="43"/>
      <c r="HI72" s="43"/>
      <c r="HJ72" s="43"/>
      <c r="HK72" s="43"/>
      <c r="HL72" s="43"/>
      <c r="HM72" s="43"/>
      <c r="HN72" s="43"/>
      <c r="HO72" s="43"/>
      <c r="HP72" s="43"/>
      <c r="HQ72" s="43"/>
      <c r="HR72" s="43"/>
      <c r="HS72" s="43"/>
      <c r="HT72" s="43"/>
      <c r="HU72" s="43"/>
      <c r="HV72" s="43"/>
      <c r="HW72" s="43"/>
      <c r="HX72" s="43"/>
      <c r="HY72" s="43"/>
      <c r="HZ72" s="43"/>
      <c r="IA72" s="43"/>
      <c r="IB72" s="43"/>
    </row>
    <row r="73" spans="1:236" s="130" customFormat="1" hidden="1">
      <c r="A73" s="152"/>
      <c r="B73" s="283">
        <f>Inputs!B107</f>
        <v>0</v>
      </c>
      <c r="C73" s="49"/>
      <c r="D73" s="365">
        <f>IF(Inputs!F107=0,0,(Inputs!D107-Inputs!E107)/Inputs!F107)</f>
        <v>0</v>
      </c>
      <c r="E73" s="364">
        <f>Inputs!D107*Inputs!$E$112</f>
        <v>0</v>
      </c>
      <c r="F73" s="263">
        <f>IF(SUM(D73:E73)=0,0,Inputs!R107)</f>
        <v>0</v>
      </c>
      <c r="G73" s="56"/>
      <c r="H73" s="433">
        <f t="shared" si="16"/>
        <v>0</v>
      </c>
      <c r="I73" s="750">
        <f t="shared" si="15"/>
        <v>0</v>
      </c>
      <c r="J73" s="157"/>
      <c r="K73" s="222"/>
      <c r="L73" s="222"/>
      <c r="M73" s="222"/>
      <c r="N73" s="222"/>
      <c r="O73" s="222"/>
      <c r="P73" s="222"/>
      <c r="Q73" s="222"/>
      <c r="R73" s="222"/>
      <c r="S73" s="222"/>
      <c r="T73" s="222"/>
      <c r="U73" s="222"/>
      <c r="V73" s="222"/>
      <c r="W73" s="222"/>
      <c r="X73" s="222"/>
      <c r="Y73" s="221"/>
      <c r="Z73" s="221"/>
      <c r="AA73" s="221"/>
      <c r="AB73" s="276"/>
      <c r="AC73" s="276"/>
      <c r="AD73" s="276"/>
      <c r="AE73" s="276"/>
      <c r="AF73" s="276"/>
      <c r="AG73" s="276"/>
      <c r="AH73" s="276"/>
      <c r="AI73" s="276"/>
      <c r="AJ73" s="276"/>
      <c r="AK73" s="276"/>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c r="EO73" s="43"/>
      <c r="EP73" s="43"/>
      <c r="EQ73" s="43"/>
      <c r="ER73" s="43"/>
      <c r="ES73" s="43"/>
      <c r="ET73" s="43"/>
      <c r="EU73" s="43"/>
      <c r="EV73" s="43"/>
      <c r="EW73" s="43"/>
      <c r="EX73" s="43"/>
      <c r="EY73" s="43"/>
      <c r="EZ73" s="43"/>
      <c r="FA73" s="43"/>
      <c r="FB73" s="43"/>
      <c r="FC73" s="43"/>
      <c r="FD73" s="43"/>
      <c r="FE73" s="43"/>
      <c r="FF73" s="43"/>
      <c r="FG73" s="43"/>
      <c r="FH73" s="43"/>
      <c r="FI73" s="43"/>
      <c r="FJ73" s="43"/>
      <c r="FK73" s="43"/>
      <c r="FL73" s="43"/>
      <c r="FM73" s="43"/>
      <c r="FN73" s="43"/>
      <c r="FO73" s="43"/>
      <c r="FP73" s="43"/>
      <c r="FQ73" s="43"/>
      <c r="FR73" s="43"/>
      <c r="FS73" s="43"/>
      <c r="FT73" s="43"/>
      <c r="FU73" s="43"/>
      <c r="FV73" s="43"/>
      <c r="FW73" s="43"/>
      <c r="FX73" s="43"/>
      <c r="FY73" s="43"/>
      <c r="FZ73" s="43"/>
      <c r="GA73" s="43"/>
      <c r="GB73" s="43"/>
      <c r="GC73" s="43"/>
      <c r="GD73" s="43"/>
      <c r="GE73" s="43"/>
      <c r="GF73" s="43"/>
      <c r="GG73" s="43"/>
      <c r="GH73" s="43"/>
      <c r="GI73" s="43"/>
      <c r="GJ73" s="43"/>
      <c r="GK73" s="43"/>
      <c r="GL73" s="43"/>
      <c r="GM73" s="43"/>
      <c r="GN73" s="43"/>
      <c r="GO73" s="43"/>
      <c r="GP73" s="43"/>
      <c r="GQ73" s="43"/>
      <c r="GR73" s="43"/>
      <c r="GS73" s="43"/>
      <c r="GT73" s="43"/>
      <c r="GU73" s="43"/>
      <c r="GV73" s="43"/>
      <c r="GW73" s="43"/>
      <c r="GX73" s="43"/>
      <c r="GY73" s="43"/>
      <c r="GZ73" s="43"/>
      <c r="HA73" s="43"/>
      <c r="HB73" s="43"/>
      <c r="HC73" s="43"/>
      <c r="HD73" s="43"/>
      <c r="HE73" s="43"/>
      <c r="HF73" s="43"/>
      <c r="HG73" s="43"/>
      <c r="HH73" s="43"/>
      <c r="HI73" s="43"/>
      <c r="HJ73" s="43"/>
      <c r="HK73" s="43"/>
      <c r="HL73" s="43"/>
      <c r="HM73" s="43"/>
      <c r="HN73" s="43"/>
      <c r="HO73" s="43"/>
      <c r="HP73" s="43"/>
      <c r="HQ73" s="43"/>
      <c r="HR73" s="43"/>
      <c r="HS73" s="43"/>
      <c r="HT73" s="43"/>
      <c r="HU73" s="43"/>
      <c r="HV73" s="43"/>
      <c r="HW73" s="43"/>
      <c r="HX73" s="43"/>
      <c r="HY73" s="43"/>
      <c r="HZ73" s="43"/>
      <c r="IA73" s="43"/>
      <c r="IB73" s="43"/>
    </row>
    <row r="74" spans="1:236" s="216" customFormat="1" hidden="1">
      <c r="A74" s="220"/>
      <c r="B74" s="283">
        <f>Inputs!B108</f>
        <v>0</v>
      </c>
      <c r="C74" s="208"/>
      <c r="D74" s="365">
        <f>IF(Inputs!F108=0,0,(Inputs!D108-Inputs!E108)/Inputs!F108)</f>
        <v>0</v>
      </c>
      <c r="E74" s="364">
        <f>Inputs!D108*Inputs!$E$112</f>
        <v>0</v>
      </c>
      <c r="F74" s="263">
        <f>IF(SUM(D74:E74)=0,0,Inputs!R108)</f>
        <v>0</v>
      </c>
      <c r="G74" s="212"/>
      <c r="H74" s="433"/>
      <c r="I74" s="750">
        <f t="shared" si="15"/>
        <v>0</v>
      </c>
      <c r="J74" s="222"/>
      <c r="K74" s="222"/>
      <c r="L74" s="222"/>
      <c r="M74" s="222"/>
      <c r="N74" s="222"/>
      <c r="O74" s="222"/>
      <c r="P74" s="222"/>
      <c r="Q74" s="222"/>
      <c r="R74" s="222"/>
      <c r="S74" s="222"/>
      <c r="T74" s="222"/>
      <c r="U74" s="222"/>
      <c r="V74" s="222"/>
      <c r="W74" s="222"/>
      <c r="X74" s="222"/>
      <c r="Y74" s="221"/>
      <c r="Z74" s="221"/>
      <c r="AA74" s="221"/>
      <c r="AB74" s="276"/>
      <c r="AC74" s="276"/>
      <c r="AD74" s="276"/>
      <c r="AE74" s="276"/>
      <c r="AF74" s="276"/>
      <c r="AG74" s="276"/>
      <c r="AH74" s="276"/>
      <c r="AI74" s="276"/>
      <c r="AJ74" s="276"/>
      <c r="AK74" s="276"/>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c r="EO74" s="43"/>
      <c r="EP74" s="43"/>
      <c r="EQ74" s="43"/>
      <c r="ER74" s="43"/>
      <c r="ES74" s="43"/>
      <c r="ET74" s="43"/>
      <c r="EU74" s="43"/>
      <c r="EV74" s="43"/>
      <c r="EW74" s="43"/>
      <c r="EX74" s="43"/>
      <c r="EY74" s="43"/>
      <c r="EZ74" s="43"/>
      <c r="FA74" s="43"/>
      <c r="FB74" s="43"/>
      <c r="FC74" s="43"/>
      <c r="FD74" s="43"/>
      <c r="FE74" s="43"/>
      <c r="FF74" s="43"/>
      <c r="FG74" s="43"/>
      <c r="FH74" s="43"/>
      <c r="FI74" s="43"/>
      <c r="FJ74" s="43"/>
      <c r="FK74" s="43"/>
      <c r="FL74" s="43"/>
      <c r="FM74" s="43"/>
      <c r="FN74" s="43"/>
      <c r="FO74" s="43"/>
      <c r="FP74" s="43"/>
      <c r="FQ74" s="43"/>
      <c r="FR74" s="43"/>
      <c r="FS74" s="43"/>
      <c r="FT74" s="43"/>
      <c r="FU74" s="43"/>
      <c r="FV74" s="43"/>
      <c r="FW74" s="43"/>
      <c r="FX74" s="43"/>
      <c r="FY74" s="43"/>
      <c r="FZ74" s="43"/>
      <c r="GA74" s="43"/>
      <c r="GB74" s="43"/>
      <c r="GC74" s="43"/>
      <c r="GD74" s="43"/>
      <c r="GE74" s="43"/>
      <c r="GF74" s="43"/>
      <c r="GG74" s="43"/>
      <c r="GH74" s="43"/>
      <c r="GI74" s="43"/>
      <c r="GJ74" s="43"/>
      <c r="GK74" s="43"/>
      <c r="GL74" s="43"/>
      <c r="GM74" s="43"/>
      <c r="GN74" s="43"/>
      <c r="GO74" s="43"/>
      <c r="GP74" s="43"/>
      <c r="GQ74" s="43"/>
      <c r="GR74" s="43"/>
      <c r="GS74" s="43"/>
      <c r="GT74" s="43"/>
      <c r="GU74" s="43"/>
      <c r="GV74" s="43"/>
      <c r="GW74" s="43"/>
      <c r="GX74" s="43"/>
      <c r="GY74" s="43"/>
      <c r="GZ74" s="43"/>
      <c r="HA74" s="43"/>
      <c r="HB74" s="43"/>
      <c r="HC74" s="43"/>
      <c r="HD74" s="43"/>
      <c r="HE74" s="43"/>
      <c r="HF74" s="43"/>
      <c r="HG74" s="43"/>
      <c r="HH74" s="43"/>
      <c r="HI74" s="43"/>
      <c r="HJ74" s="43"/>
      <c r="HK74" s="43"/>
      <c r="HL74" s="43"/>
      <c r="HM74" s="43"/>
      <c r="HN74" s="43"/>
      <c r="HO74" s="43"/>
      <c r="HP74" s="43"/>
      <c r="HQ74" s="43"/>
      <c r="HR74" s="43"/>
      <c r="HS74" s="43"/>
      <c r="HT74" s="43"/>
      <c r="HU74" s="43"/>
      <c r="HV74" s="43"/>
      <c r="HW74" s="43"/>
      <c r="HX74" s="43"/>
      <c r="HY74" s="43"/>
      <c r="HZ74" s="43"/>
      <c r="IA74" s="43"/>
      <c r="IB74" s="43"/>
    </row>
    <row r="75" spans="1:236" s="130" customFormat="1" ht="13.5" thickBot="1">
      <c r="A75" s="152"/>
      <c r="B75" s="207" t="s">
        <v>99</v>
      </c>
      <c r="C75" s="49"/>
      <c r="D75" s="56"/>
      <c r="E75" s="56">
        <f>Inputs!E116*Inputs!E112</f>
        <v>0</v>
      </c>
      <c r="F75" s="371">
        <f>IF(E75=0,0,Inputs!R116)</f>
        <v>0</v>
      </c>
      <c r="G75" s="56"/>
      <c r="H75" s="433">
        <f>E75*F75</f>
        <v>0</v>
      </c>
      <c r="I75" s="750">
        <f t="shared" si="15"/>
        <v>0</v>
      </c>
      <c r="J75" s="157"/>
      <c r="K75" s="222"/>
      <c r="L75" s="222"/>
      <c r="M75" s="222"/>
      <c r="N75" s="222"/>
      <c r="O75" s="222"/>
      <c r="P75" s="222"/>
      <c r="Q75" s="222"/>
      <c r="R75" s="222"/>
      <c r="S75" s="222"/>
      <c r="T75" s="222"/>
      <c r="U75" s="222"/>
      <c r="V75" s="222"/>
      <c r="W75" s="222"/>
      <c r="X75" s="222"/>
      <c r="Y75" s="221"/>
      <c r="Z75" s="221"/>
      <c r="AA75" s="221"/>
      <c r="AB75" s="276"/>
      <c r="AC75" s="276"/>
      <c r="AD75" s="276"/>
      <c r="AE75" s="276"/>
      <c r="AF75" s="276"/>
      <c r="AG75" s="276"/>
      <c r="AH75" s="276"/>
      <c r="AI75" s="276"/>
      <c r="AJ75" s="276"/>
      <c r="AK75" s="276"/>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c r="EN75" s="43"/>
      <c r="EO75" s="43"/>
      <c r="EP75" s="43"/>
      <c r="EQ75" s="43"/>
      <c r="ER75" s="43"/>
      <c r="ES75" s="43"/>
      <c r="ET75" s="43"/>
      <c r="EU75" s="43"/>
      <c r="EV75" s="43"/>
      <c r="EW75" s="43"/>
      <c r="EX75" s="43"/>
      <c r="EY75" s="43"/>
      <c r="EZ75" s="43"/>
      <c r="FA75" s="43"/>
      <c r="FB75" s="43"/>
      <c r="FC75" s="43"/>
      <c r="FD75" s="43"/>
      <c r="FE75" s="43"/>
      <c r="FF75" s="43"/>
      <c r="FG75" s="43"/>
      <c r="FH75" s="43"/>
      <c r="FI75" s="43"/>
      <c r="FJ75" s="43"/>
      <c r="FK75" s="43"/>
      <c r="FL75" s="43"/>
      <c r="FM75" s="43"/>
      <c r="FN75" s="43"/>
      <c r="FO75" s="43"/>
      <c r="FP75" s="43"/>
      <c r="FQ75" s="43"/>
      <c r="FR75" s="43"/>
      <c r="FS75" s="43"/>
      <c r="FT75" s="43"/>
      <c r="FU75" s="43"/>
      <c r="FV75" s="43"/>
      <c r="FW75" s="43"/>
      <c r="FX75" s="43"/>
      <c r="FY75" s="43"/>
      <c r="FZ75" s="43"/>
      <c r="GA75" s="43"/>
      <c r="GB75" s="43"/>
      <c r="GC75" s="43"/>
      <c r="GD75" s="43"/>
      <c r="GE75" s="43"/>
      <c r="GF75" s="43"/>
      <c r="GG75" s="43"/>
      <c r="GH75" s="43"/>
      <c r="GI75" s="43"/>
      <c r="GJ75" s="43"/>
      <c r="GK75" s="43"/>
      <c r="GL75" s="43"/>
      <c r="GM75" s="43"/>
      <c r="GN75" s="43"/>
      <c r="GO75" s="43"/>
      <c r="GP75" s="43"/>
      <c r="GQ75" s="43"/>
      <c r="GR75" s="43"/>
      <c r="GS75" s="43"/>
      <c r="GT75" s="43"/>
      <c r="GU75" s="43"/>
      <c r="GV75" s="43"/>
      <c r="GW75" s="43"/>
      <c r="GX75" s="43"/>
      <c r="GY75" s="43"/>
      <c r="GZ75" s="43"/>
      <c r="HA75" s="43"/>
      <c r="HB75" s="43"/>
      <c r="HC75" s="43"/>
      <c r="HD75" s="43"/>
      <c r="HE75" s="43"/>
      <c r="HF75" s="43"/>
      <c r="HG75" s="43"/>
      <c r="HH75" s="43"/>
      <c r="HI75" s="43"/>
      <c r="HJ75" s="43"/>
      <c r="HK75" s="43"/>
      <c r="HL75" s="43"/>
      <c r="HM75" s="43"/>
      <c r="HN75" s="43"/>
      <c r="HO75" s="43"/>
      <c r="HP75" s="43"/>
      <c r="HQ75" s="43"/>
      <c r="HR75" s="43"/>
      <c r="HS75" s="43"/>
      <c r="HT75" s="43"/>
      <c r="HU75" s="43"/>
      <c r="HV75" s="43"/>
      <c r="HW75" s="43"/>
      <c r="HX75" s="43"/>
      <c r="HY75" s="43"/>
      <c r="HZ75" s="43"/>
      <c r="IA75" s="43"/>
      <c r="IB75" s="43"/>
    </row>
    <row r="76" spans="1:236" s="130" customFormat="1" ht="13.5" thickBot="1">
      <c r="A76" s="152"/>
      <c r="B76" s="99">
        <v>217480.06701030929</v>
      </c>
      <c r="C76" s="96"/>
      <c r="D76" s="42"/>
      <c r="E76" s="42"/>
      <c r="F76" s="42"/>
      <c r="G76" s="21" t="s">
        <v>105</v>
      </c>
      <c r="H76" s="493">
        <f>SUM(H66:H75)</f>
        <v>2254.2857142857142</v>
      </c>
      <c r="I76" s="625">
        <f>SUM(I66:I75)</f>
        <v>8.8403361344537821</v>
      </c>
      <c r="J76" s="157"/>
      <c r="K76" s="222"/>
      <c r="L76" s="222"/>
      <c r="M76" s="222"/>
      <c r="N76" s="222"/>
      <c r="O76" s="222"/>
      <c r="P76" s="222"/>
      <c r="Q76" s="222"/>
      <c r="R76" s="222"/>
      <c r="S76" s="222"/>
      <c r="T76" s="222"/>
      <c r="U76" s="222"/>
      <c r="V76" s="222"/>
      <c r="W76" s="222"/>
      <c r="X76" s="222"/>
      <c r="Y76" s="221"/>
      <c r="Z76" s="221"/>
      <c r="AA76" s="221"/>
      <c r="AB76" s="276"/>
      <c r="AC76" s="276"/>
      <c r="AD76" s="276"/>
      <c r="AE76" s="276"/>
      <c r="AF76" s="276"/>
      <c r="AG76" s="276"/>
      <c r="AH76" s="276"/>
      <c r="AI76" s="276"/>
      <c r="AJ76" s="276"/>
      <c r="AK76" s="276"/>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c r="DD76" s="43"/>
      <c r="DE76" s="43"/>
      <c r="DF76" s="43"/>
      <c r="DG76" s="43"/>
      <c r="DH76" s="43"/>
      <c r="DI76" s="43"/>
      <c r="DJ76" s="43"/>
      <c r="DK76" s="43"/>
      <c r="DL76" s="43"/>
      <c r="DM76" s="43"/>
      <c r="DN76" s="43"/>
      <c r="DO76" s="43"/>
      <c r="DP76" s="43"/>
      <c r="DQ76" s="43"/>
      <c r="DR76" s="43"/>
      <c r="DS76" s="43"/>
      <c r="DT76" s="43"/>
      <c r="DU76" s="43"/>
      <c r="DV76" s="43"/>
      <c r="DW76" s="43"/>
      <c r="DX76" s="43"/>
      <c r="DY76" s="43"/>
      <c r="DZ76" s="43"/>
      <c r="EA76" s="43"/>
      <c r="EB76" s="43"/>
      <c r="EC76" s="43"/>
      <c r="ED76" s="43"/>
      <c r="EE76" s="43"/>
      <c r="EF76" s="43"/>
      <c r="EG76" s="43"/>
      <c r="EH76" s="43"/>
      <c r="EI76" s="43"/>
      <c r="EJ76" s="43"/>
      <c r="EK76" s="43"/>
      <c r="EL76" s="43"/>
      <c r="EM76" s="43"/>
      <c r="EN76" s="43"/>
      <c r="EO76" s="43"/>
      <c r="EP76" s="43"/>
      <c r="EQ76" s="43"/>
      <c r="ER76" s="43"/>
      <c r="ES76" s="43"/>
      <c r="ET76" s="43"/>
      <c r="EU76" s="43"/>
      <c r="EV76" s="43"/>
      <c r="EW76" s="43"/>
      <c r="EX76" s="43"/>
      <c r="EY76" s="43"/>
      <c r="EZ76" s="43"/>
      <c r="FA76" s="43"/>
      <c r="FB76" s="43"/>
      <c r="FC76" s="43"/>
      <c r="FD76" s="43"/>
      <c r="FE76" s="43"/>
      <c r="FF76" s="43"/>
      <c r="FG76" s="43"/>
      <c r="FH76" s="43"/>
      <c r="FI76" s="43"/>
      <c r="FJ76" s="43"/>
      <c r="FK76" s="43"/>
      <c r="FL76" s="43"/>
      <c r="FM76" s="43"/>
      <c r="FN76" s="43"/>
      <c r="FO76" s="43"/>
      <c r="FP76" s="43"/>
      <c r="FQ76" s="43"/>
      <c r="FR76" s="43"/>
      <c r="FS76" s="43"/>
      <c r="FT76" s="43"/>
      <c r="FU76" s="43"/>
      <c r="FV76" s="43"/>
      <c r="FW76" s="43"/>
      <c r="FX76" s="43"/>
      <c r="FY76" s="43"/>
      <c r="FZ76" s="43"/>
      <c r="GA76" s="43"/>
      <c r="GB76" s="43"/>
      <c r="GC76" s="43"/>
      <c r="GD76" s="43"/>
      <c r="GE76" s="43"/>
      <c r="GF76" s="43"/>
      <c r="GG76" s="43"/>
      <c r="GH76" s="43"/>
      <c r="GI76" s="43"/>
      <c r="GJ76" s="43"/>
      <c r="GK76" s="43"/>
      <c r="GL76" s="43"/>
      <c r="GM76" s="43"/>
      <c r="GN76" s="43"/>
      <c r="GO76" s="43"/>
      <c r="GP76" s="43"/>
      <c r="GQ76" s="43"/>
      <c r="GR76" s="43"/>
      <c r="GS76" s="43"/>
      <c r="GT76" s="43"/>
      <c r="GU76" s="43"/>
      <c r="GV76" s="43"/>
      <c r="GW76" s="43"/>
      <c r="GX76" s="43"/>
      <c r="GY76" s="43"/>
      <c r="GZ76" s="43"/>
      <c r="HA76" s="43"/>
      <c r="HB76" s="43"/>
      <c r="HC76" s="43"/>
      <c r="HD76" s="43"/>
      <c r="HE76" s="43"/>
      <c r="HF76" s="43"/>
      <c r="HG76" s="43"/>
      <c r="HH76" s="43"/>
      <c r="HI76" s="43"/>
      <c r="HJ76" s="43"/>
      <c r="HK76" s="43"/>
      <c r="HL76" s="43"/>
      <c r="HM76" s="43"/>
      <c r="HN76" s="43"/>
      <c r="HO76" s="43"/>
      <c r="HP76" s="43"/>
      <c r="HQ76" s="43"/>
      <c r="HR76" s="43"/>
      <c r="HS76" s="43"/>
      <c r="HT76" s="43"/>
      <c r="HU76" s="43"/>
      <c r="HV76" s="43"/>
      <c r="HW76" s="43"/>
      <c r="HX76" s="43"/>
      <c r="HY76" s="43"/>
      <c r="HZ76" s="43"/>
      <c r="IA76" s="43"/>
      <c r="IB76" s="43"/>
    </row>
    <row r="77" spans="1:236" s="130" customFormat="1" ht="13.5" thickBot="1">
      <c r="A77" s="152"/>
      <c r="B77" s="43"/>
      <c r="C77" s="43"/>
      <c r="D77" s="43"/>
      <c r="E77" s="43"/>
      <c r="F77" s="43"/>
      <c r="G77" s="43"/>
      <c r="H77" s="475"/>
      <c r="I77" s="610"/>
      <c r="J77" s="157"/>
      <c r="K77" s="222"/>
      <c r="L77" s="222"/>
      <c r="M77" s="222"/>
      <c r="N77" s="222"/>
      <c r="O77" s="222"/>
      <c r="P77" s="222"/>
      <c r="Q77" s="222"/>
      <c r="R77" s="222"/>
      <c r="S77" s="222"/>
      <c r="T77" s="222"/>
      <c r="U77" s="222"/>
      <c r="V77" s="222"/>
      <c r="W77" s="222"/>
      <c r="X77" s="222"/>
      <c r="Y77" s="221"/>
      <c r="Z77" s="221"/>
      <c r="AA77" s="221"/>
      <c r="AB77" s="276"/>
      <c r="AC77" s="276"/>
      <c r="AD77" s="276"/>
      <c r="AE77" s="276"/>
      <c r="AF77" s="276"/>
      <c r="AG77" s="276"/>
      <c r="AH77" s="276"/>
      <c r="AI77" s="276"/>
      <c r="AJ77" s="276"/>
      <c r="AK77" s="276"/>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c r="BX77" s="43"/>
      <c r="BY77" s="43"/>
      <c r="BZ77" s="43"/>
      <c r="CA77" s="43"/>
      <c r="CB77" s="43"/>
      <c r="CC77" s="43"/>
      <c r="CD77" s="43"/>
      <c r="CE77" s="43"/>
      <c r="CF77" s="43"/>
      <c r="CG77" s="43"/>
      <c r="CH77" s="43"/>
      <c r="CI77" s="43"/>
      <c r="CJ77" s="43"/>
      <c r="CK77" s="43"/>
      <c r="CL77" s="43"/>
      <c r="CM77" s="43"/>
      <c r="CN77" s="43"/>
      <c r="CO77" s="43"/>
      <c r="CP77" s="43"/>
      <c r="CQ77" s="43"/>
      <c r="CR77" s="43"/>
      <c r="CS77" s="43"/>
      <c r="CT77" s="43"/>
      <c r="CU77" s="43"/>
      <c r="CV77" s="43"/>
      <c r="CW77" s="43"/>
      <c r="CX77" s="43"/>
      <c r="CY77" s="43"/>
      <c r="CZ77" s="43"/>
      <c r="DA77" s="43"/>
      <c r="DB77" s="43"/>
      <c r="DC77" s="43"/>
      <c r="DD77" s="43"/>
      <c r="DE77" s="43"/>
      <c r="DF77" s="43"/>
      <c r="DG77" s="43"/>
      <c r="DH77" s="43"/>
      <c r="DI77" s="43"/>
      <c r="DJ77" s="43"/>
      <c r="DK77" s="43"/>
      <c r="DL77" s="43"/>
      <c r="DM77" s="43"/>
      <c r="DN77" s="43"/>
      <c r="DO77" s="43"/>
      <c r="DP77" s="43"/>
      <c r="DQ77" s="43"/>
      <c r="DR77" s="43"/>
      <c r="DS77" s="43"/>
      <c r="DT77" s="43"/>
      <c r="DU77" s="43"/>
      <c r="DV77" s="43"/>
      <c r="DW77" s="43"/>
      <c r="DX77" s="43"/>
      <c r="DY77" s="43"/>
      <c r="DZ77" s="43"/>
      <c r="EA77" s="43"/>
      <c r="EB77" s="43"/>
      <c r="EC77" s="43"/>
      <c r="ED77" s="43"/>
      <c r="EE77" s="43"/>
      <c r="EF77" s="43"/>
      <c r="EG77" s="43"/>
      <c r="EH77" s="43"/>
      <c r="EI77" s="43"/>
      <c r="EJ77" s="43"/>
      <c r="EK77" s="43"/>
      <c r="EL77" s="43"/>
      <c r="EM77" s="43"/>
      <c r="EN77" s="43"/>
      <c r="EO77" s="43"/>
      <c r="EP77" s="43"/>
      <c r="EQ77" s="43"/>
      <c r="ER77" s="43"/>
      <c r="ES77" s="43"/>
      <c r="ET77" s="43"/>
      <c r="EU77" s="43"/>
      <c r="EV77" s="43"/>
      <c r="EW77" s="43"/>
      <c r="EX77" s="43"/>
      <c r="EY77" s="43"/>
      <c r="EZ77" s="43"/>
      <c r="FA77" s="43"/>
      <c r="FB77" s="43"/>
      <c r="FC77" s="43"/>
      <c r="FD77" s="43"/>
      <c r="FE77" s="43"/>
      <c r="FF77" s="43"/>
      <c r="FG77" s="43"/>
      <c r="FH77" s="43"/>
      <c r="FI77" s="43"/>
      <c r="FJ77" s="43"/>
      <c r="FK77" s="43"/>
      <c r="FL77" s="43"/>
      <c r="FM77" s="43"/>
      <c r="FN77" s="43"/>
      <c r="FO77" s="43"/>
      <c r="FP77" s="43"/>
      <c r="FQ77" s="43"/>
      <c r="FR77" s="43"/>
      <c r="FS77" s="43"/>
      <c r="FT77" s="43"/>
      <c r="FU77" s="43"/>
      <c r="FV77" s="43"/>
      <c r="FW77" s="43"/>
      <c r="FX77" s="43"/>
      <c r="FY77" s="43"/>
      <c r="FZ77" s="43"/>
      <c r="GA77" s="43"/>
      <c r="GB77" s="43"/>
      <c r="GC77" s="43"/>
      <c r="GD77" s="43"/>
      <c r="GE77" s="43"/>
      <c r="GF77" s="43"/>
      <c r="GG77" s="43"/>
      <c r="GH77" s="43"/>
      <c r="GI77" s="43"/>
      <c r="GJ77" s="43"/>
      <c r="GK77" s="43"/>
      <c r="GL77" s="43"/>
      <c r="GM77" s="43"/>
      <c r="GN77" s="43"/>
      <c r="GO77" s="43"/>
      <c r="GP77" s="43"/>
      <c r="GQ77" s="43"/>
      <c r="GR77" s="43"/>
      <c r="GS77" s="43"/>
      <c r="GT77" s="43"/>
      <c r="GU77" s="43"/>
      <c r="GV77" s="43"/>
      <c r="GW77" s="43"/>
      <c r="GX77" s="43"/>
      <c r="GY77" s="43"/>
      <c r="GZ77" s="43"/>
      <c r="HA77" s="43"/>
      <c r="HB77" s="43"/>
      <c r="HC77" s="43"/>
      <c r="HD77" s="43"/>
      <c r="HE77" s="43"/>
      <c r="HF77" s="43"/>
      <c r="HG77" s="43"/>
      <c r="HH77" s="43"/>
      <c r="HI77" s="43"/>
      <c r="HJ77" s="43"/>
      <c r="HK77" s="43"/>
      <c r="HL77" s="43"/>
      <c r="HM77" s="43"/>
      <c r="HN77" s="43"/>
      <c r="HO77" s="43"/>
      <c r="HP77" s="43"/>
      <c r="HQ77" s="43"/>
      <c r="HR77" s="43"/>
      <c r="HS77" s="43"/>
      <c r="HT77" s="43"/>
      <c r="HU77" s="43"/>
      <c r="HV77" s="43"/>
      <c r="HW77" s="43"/>
      <c r="HX77" s="43"/>
      <c r="HY77" s="43"/>
      <c r="HZ77" s="43"/>
      <c r="IA77" s="43"/>
      <c r="IB77" s="43"/>
    </row>
    <row r="78" spans="1:236" s="130" customFormat="1" ht="25.5">
      <c r="A78" s="152"/>
      <c r="B78" s="142" t="s">
        <v>107</v>
      </c>
      <c r="C78" s="139"/>
      <c r="D78" s="143"/>
      <c r="E78" s="143"/>
      <c r="F78" s="143"/>
      <c r="G78" s="144"/>
      <c r="H78" s="494" t="s">
        <v>73</v>
      </c>
      <c r="I78" s="626" t="s">
        <v>93</v>
      </c>
      <c r="J78" s="157"/>
      <c r="K78" s="222"/>
      <c r="L78" s="222"/>
      <c r="M78" s="222"/>
      <c r="N78" s="222"/>
      <c r="O78" s="222"/>
      <c r="P78" s="222"/>
      <c r="Q78" s="222"/>
      <c r="R78" s="222"/>
      <c r="S78" s="222"/>
      <c r="T78" s="222"/>
      <c r="U78" s="222"/>
      <c r="V78" s="222"/>
      <c r="W78" s="222"/>
      <c r="X78" s="222"/>
      <c r="Y78" s="221"/>
      <c r="Z78" s="221"/>
      <c r="AA78" s="221"/>
      <c r="AB78" s="276"/>
      <c r="AC78" s="276"/>
      <c r="AD78" s="276"/>
      <c r="AE78" s="276"/>
      <c r="AF78" s="276"/>
      <c r="AG78" s="276"/>
      <c r="AH78" s="276"/>
      <c r="AI78" s="276"/>
      <c r="AJ78" s="276"/>
      <c r="AK78" s="276"/>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c r="DD78" s="43"/>
      <c r="DE78" s="43"/>
      <c r="DF78" s="43"/>
      <c r="DG78" s="43"/>
      <c r="DH78" s="43"/>
      <c r="DI78" s="43"/>
      <c r="DJ78" s="43"/>
      <c r="DK78" s="43"/>
      <c r="DL78" s="43"/>
      <c r="DM78" s="43"/>
      <c r="DN78" s="43"/>
      <c r="DO78" s="43"/>
      <c r="DP78" s="43"/>
      <c r="DQ78" s="43"/>
      <c r="DR78" s="43"/>
      <c r="DS78" s="43"/>
      <c r="DT78" s="43"/>
      <c r="DU78" s="43"/>
      <c r="DV78" s="43"/>
      <c r="DW78" s="43"/>
      <c r="DX78" s="43"/>
      <c r="DY78" s="43"/>
      <c r="DZ78" s="43"/>
      <c r="EA78" s="43"/>
      <c r="EB78" s="43"/>
      <c r="EC78" s="43"/>
      <c r="ED78" s="43"/>
      <c r="EE78" s="43"/>
      <c r="EF78" s="43"/>
      <c r="EG78" s="43"/>
      <c r="EH78" s="43"/>
      <c r="EI78" s="43"/>
      <c r="EJ78" s="43"/>
      <c r="EK78" s="43"/>
      <c r="EL78" s="43"/>
      <c r="EM78" s="43"/>
      <c r="EN78" s="43"/>
      <c r="EO78" s="43"/>
      <c r="EP78" s="43"/>
      <c r="EQ78" s="43"/>
      <c r="ER78" s="43"/>
      <c r="ES78" s="43"/>
      <c r="ET78" s="43"/>
      <c r="EU78" s="43"/>
      <c r="EV78" s="43"/>
      <c r="EW78" s="43"/>
      <c r="EX78" s="43"/>
      <c r="EY78" s="43"/>
      <c r="EZ78" s="43"/>
      <c r="FA78" s="43"/>
      <c r="FB78" s="43"/>
      <c r="FC78" s="43"/>
      <c r="FD78" s="43"/>
      <c r="FE78" s="43"/>
      <c r="FF78" s="43"/>
      <c r="FG78" s="43"/>
      <c r="FH78" s="43"/>
      <c r="FI78" s="43"/>
      <c r="FJ78" s="43"/>
      <c r="FK78" s="43"/>
      <c r="FL78" s="43"/>
      <c r="FM78" s="43"/>
      <c r="FN78" s="43"/>
      <c r="FO78" s="43"/>
      <c r="FP78" s="43"/>
      <c r="FQ78" s="43"/>
      <c r="FR78" s="43"/>
      <c r="FS78" s="43"/>
      <c r="FT78" s="43"/>
      <c r="FU78" s="43"/>
      <c r="FV78" s="43"/>
      <c r="FW78" s="43"/>
      <c r="FX78" s="43"/>
      <c r="FY78" s="43"/>
      <c r="FZ78" s="43"/>
      <c r="GA78" s="43"/>
      <c r="GB78" s="43"/>
      <c r="GC78" s="43"/>
      <c r="GD78" s="43"/>
      <c r="GE78" s="43"/>
      <c r="GF78" s="43"/>
      <c r="GG78" s="43"/>
      <c r="GH78" s="43"/>
      <c r="GI78" s="43"/>
      <c r="GJ78" s="43"/>
      <c r="GK78" s="43"/>
      <c r="GL78" s="43"/>
      <c r="GM78" s="43"/>
      <c r="GN78" s="43"/>
      <c r="GO78" s="43"/>
      <c r="GP78" s="43"/>
      <c r="GQ78" s="43"/>
      <c r="GR78" s="43"/>
      <c r="GS78" s="43"/>
      <c r="GT78" s="43"/>
      <c r="GU78" s="43"/>
      <c r="GV78" s="43"/>
      <c r="GW78" s="43"/>
      <c r="GX78" s="43"/>
      <c r="GY78" s="43"/>
      <c r="GZ78" s="43"/>
      <c r="HA78" s="43"/>
      <c r="HB78" s="43"/>
      <c r="HC78" s="43"/>
      <c r="HD78" s="43"/>
      <c r="HE78" s="43"/>
      <c r="HF78" s="43"/>
      <c r="HG78" s="43"/>
      <c r="HH78" s="43"/>
      <c r="HI78" s="43"/>
      <c r="HJ78" s="43"/>
      <c r="HK78" s="43"/>
      <c r="HL78" s="43"/>
      <c r="HM78" s="43"/>
      <c r="HN78" s="43"/>
      <c r="HO78" s="43"/>
      <c r="HP78" s="43"/>
      <c r="HQ78" s="43"/>
      <c r="HR78" s="43"/>
      <c r="HS78" s="43"/>
      <c r="HT78" s="43"/>
      <c r="HU78" s="43"/>
      <c r="HV78" s="43"/>
      <c r="HW78" s="43"/>
      <c r="HX78" s="43"/>
      <c r="HY78" s="43"/>
      <c r="HZ78" s="43"/>
      <c r="IA78" s="43"/>
      <c r="IB78" s="43"/>
    </row>
    <row r="79" spans="1:236" s="130" customFormat="1" ht="13.5" thickBot="1">
      <c r="A79" s="152"/>
      <c r="B79" s="140"/>
      <c r="C79" s="141"/>
      <c r="D79" s="136"/>
      <c r="E79" s="136"/>
      <c r="F79" s="136"/>
      <c r="G79" s="137" t="s">
        <v>70</v>
      </c>
      <c r="H79" s="493">
        <f>H60+H76</f>
        <v>272904.93813592492</v>
      </c>
      <c r="I79" s="627">
        <f>I60+I76</f>
        <v>1070.215443670294</v>
      </c>
      <c r="J79" s="157"/>
      <c r="K79" s="222"/>
      <c r="L79" s="222"/>
      <c r="M79" s="222"/>
      <c r="N79" s="222"/>
      <c r="O79" s="222"/>
      <c r="P79" s="222"/>
      <c r="Q79" s="222"/>
      <c r="R79" s="222"/>
      <c r="S79" s="222"/>
      <c r="T79" s="222"/>
      <c r="U79" s="222"/>
      <c r="V79" s="222"/>
      <c r="W79" s="222"/>
      <c r="X79" s="222"/>
      <c r="Y79" s="221"/>
      <c r="Z79" s="221"/>
      <c r="AA79" s="221"/>
      <c r="AB79" s="276"/>
      <c r="AC79" s="276"/>
      <c r="AD79" s="276"/>
      <c r="AE79" s="276"/>
      <c r="AF79" s="276"/>
      <c r="AG79" s="276"/>
      <c r="AH79" s="276"/>
      <c r="AI79" s="276"/>
      <c r="AJ79" s="276"/>
      <c r="AK79" s="276"/>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c r="CL79" s="43"/>
      <c r="CM79" s="43"/>
      <c r="CN79" s="43"/>
      <c r="CO79" s="43"/>
      <c r="CP79" s="43"/>
      <c r="CQ79" s="43"/>
      <c r="CR79" s="43"/>
      <c r="CS79" s="43"/>
      <c r="CT79" s="43"/>
      <c r="CU79" s="43"/>
      <c r="CV79" s="43"/>
      <c r="CW79" s="43"/>
      <c r="CX79" s="43"/>
      <c r="CY79" s="43"/>
      <c r="CZ79" s="43"/>
      <c r="DA79" s="43"/>
      <c r="DB79" s="43"/>
      <c r="DC79" s="43"/>
      <c r="DD79" s="43"/>
      <c r="DE79" s="43"/>
      <c r="DF79" s="43"/>
      <c r="DG79" s="43"/>
      <c r="DH79" s="43"/>
      <c r="DI79" s="43"/>
      <c r="DJ79" s="43"/>
      <c r="DK79" s="43"/>
      <c r="DL79" s="43"/>
      <c r="DM79" s="43"/>
      <c r="DN79" s="43"/>
      <c r="DO79" s="43"/>
      <c r="DP79" s="43"/>
      <c r="DQ79" s="43"/>
      <c r="DR79" s="43"/>
      <c r="DS79" s="43"/>
      <c r="DT79" s="43"/>
      <c r="DU79" s="43"/>
      <c r="DV79" s="43"/>
      <c r="DW79" s="43"/>
      <c r="DX79" s="43"/>
      <c r="DY79" s="43"/>
      <c r="DZ79" s="43"/>
      <c r="EA79" s="43"/>
      <c r="EB79" s="43"/>
      <c r="EC79" s="43"/>
      <c r="ED79" s="43"/>
      <c r="EE79" s="43"/>
      <c r="EF79" s="43"/>
      <c r="EG79" s="43"/>
      <c r="EH79" s="43"/>
      <c r="EI79" s="43"/>
      <c r="EJ79" s="43"/>
      <c r="EK79" s="43"/>
      <c r="EL79" s="43"/>
      <c r="EM79" s="43"/>
      <c r="EN79" s="43"/>
      <c r="EO79" s="43"/>
      <c r="EP79" s="43"/>
      <c r="EQ79" s="43"/>
      <c r="ER79" s="43"/>
      <c r="ES79" s="43"/>
      <c r="ET79" s="43"/>
      <c r="EU79" s="43"/>
      <c r="EV79" s="43"/>
      <c r="EW79" s="43"/>
      <c r="EX79" s="43"/>
      <c r="EY79" s="43"/>
      <c r="EZ79" s="43"/>
      <c r="FA79" s="43"/>
      <c r="FB79" s="43"/>
      <c r="FC79" s="43"/>
      <c r="FD79" s="43"/>
      <c r="FE79" s="43"/>
      <c r="FF79" s="43"/>
      <c r="FG79" s="43"/>
      <c r="FH79" s="43"/>
      <c r="FI79" s="43"/>
      <c r="FJ79" s="43"/>
      <c r="FK79" s="43"/>
      <c r="FL79" s="43"/>
      <c r="FM79" s="43"/>
      <c r="FN79" s="43"/>
      <c r="FO79" s="43"/>
      <c r="FP79" s="43"/>
      <c r="FQ79" s="43"/>
      <c r="FR79" s="43"/>
      <c r="FS79" s="43"/>
      <c r="FT79" s="43"/>
      <c r="FU79" s="43"/>
      <c r="FV79" s="43"/>
      <c r="FW79" s="43"/>
      <c r="FX79" s="43"/>
      <c r="FY79" s="43"/>
      <c r="FZ79" s="43"/>
      <c r="GA79" s="43"/>
      <c r="GB79" s="43"/>
      <c r="GC79" s="43"/>
      <c r="GD79" s="43"/>
      <c r="GE79" s="43"/>
      <c r="GF79" s="43"/>
      <c r="GG79" s="43"/>
      <c r="GH79" s="43"/>
      <c r="GI79" s="43"/>
      <c r="GJ79" s="43"/>
      <c r="GK79" s="43"/>
      <c r="GL79" s="43"/>
      <c r="GM79" s="43"/>
      <c r="GN79" s="43"/>
      <c r="GO79" s="43"/>
      <c r="GP79" s="43"/>
      <c r="GQ79" s="43"/>
      <c r="GR79" s="43"/>
      <c r="GS79" s="43"/>
      <c r="GT79" s="43"/>
      <c r="GU79" s="43"/>
      <c r="GV79" s="43"/>
      <c r="GW79" s="43"/>
      <c r="GX79" s="43"/>
      <c r="GY79" s="43"/>
      <c r="GZ79" s="43"/>
      <c r="HA79" s="43"/>
      <c r="HB79" s="43"/>
      <c r="HC79" s="43"/>
      <c r="HD79" s="43"/>
      <c r="HE79" s="43"/>
      <c r="HF79" s="43"/>
      <c r="HG79" s="43"/>
      <c r="HH79" s="43"/>
      <c r="HI79" s="43"/>
      <c r="HJ79" s="43"/>
      <c r="HK79" s="43"/>
      <c r="HL79" s="43"/>
      <c r="HM79" s="43"/>
      <c r="HN79" s="43"/>
      <c r="HO79" s="43"/>
      <c r="HP79" s="43"/>
      <c r="HQ79" s="43"/>
      <c r="HR79" s="43"/>
      <c r="HS79" s="43"/>
      <c r="HT79" s="43"/>
      <c r="HU79" s="43"/>
      <c r="HV79" s="43"/>
      <c r="HW79" s="43"/>
      <c r="HX79" s="43"/>
      <c r="HY79" s="43"/>
      <c r="HZ79" s="43"/>
      <c r="IA79" s="43"/>
      <c r="IB79" s="43"/>
    </row>
    <row r="80" spans="1:236" s="130" customFormat="1" ht="13.5" thickBot="1">
      <c r="A80" s="152"/>
      <c r="B80" s="138"/>
      <c r="C80" s="105"/>
      <c r="D80" s="105"/>
      <c r="E80" s="105"/>
      <c r="F80" s="105"/>
      <c r="G80" s="105"/>
      <c r="H80" s="495"/>
      <c r="I80" s="628"/>
      <c r="J80" s="157"/>
      <c r="K80" s="222"/>
      <c r="L80" s="222"/>
      <c r="M80" s="222"/>
      <c r="N80" s="222"/>
      <c r="O80" s="222"/>
      <c r="P80" s="222"/>
      <c r="Q80" s="222"/>
      <c r="R80" s="222"/>
      <c r="S80" s="222"/>
      <c r="T80" s="222"/>
      <c r="U80" s="222"/>
      <c r="V80" s="222"/>
      <c r="W80" s="222"/>
      <c r="X80" s="222"/>
      <c r="Y80" s="221"/>
      <c r="Z80" s="221"/>
      <c r="AA80" s="221"/>
      <c r="AB80" s="276"/>
      <c r="AC80" s="276"/>
      <c r="AD80" s="276"/>
      <c r="AE80" s="276"/>
      <c r="AF80" s="276"/>
      <c r="AG80" s="276"/>
      <c r="AH80" s="276"/>
      <c r="AI80" s="276"/>
      <c r="AJ80" s="276"/>
      <c r="AK80" s="276"/>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c r="DD80" s="43"/>
      <c r="DE80" s="43"/>
      <c r="DF80" s="43"/>
      <c r="DG80" s="43"/>
      <c r="DH80" s="43"/>
      <c r="DI80" s="43"/>
      <c r="DJ80" s="43"/>
      <c r="DK80" s="43"/>
      <c r="DL80" s="43"/>
      <c r="DM80" s="43"/>
      <c r="DN80" s="43"/>
      <c r="DO80" s="43"/>
      <c r="DP80" s="43"/>
      <c r="DQ80" s="43"/>
      <c r="DR80" s="43"/>
      <c r="DS80" s="43"/>
      <c r="DT80" s="43"/>
      <c r="DU80" s="43"/>
      <c r="DV80" s="43"/>
      <c r="DW80" s="43"/>
      <c r="DX80" s="43"/>
      <c r="DY80" s="43"/>
      <c r="DZ80" s="43"/>
      <c r="EA80" s="43"/>
      <c r="EB80" s="43"/>
      <c r="EC80" s="43"/>
      <c r="ED80" s="43"/>
      <c r="EE80" s="43"/>
      <c r="EF80" s="43"/>
      <c r="EG80" s="43"/>
      <c r="EH80" s="43"/>
      <c r="EI80" s="43"/>
      <c r="EJ80" s="43"/>
      <c r="EK80" s="43"/>
      <c r="EL80" s="43"/>
      <c r="EM80" s="43"/>
      <c r="EN80" s="43"/>
      <c r="EO80" s="43"/>
      <c r="EP80" s="43"/>
      <c r="EQ80" s="43"/>
      <c r="ER80" s="43"/>
      <c r="ES80" s="43"/>
      <c r="ET80" s="43"/>
      <c r="EU80" s="43"/>
      <c r="EV80" s="43"/>
      <c r="EW80" s="43"/>
      <c r="EX80" s="43"/>
      <c r="EY80" s="43"/>
      <c r="EZ80" s="43"/>
      <c r="FA80" s="43"/>
      <c r="FB80" s="43"/>
      <c r="FC80" s="43"/>
      <c r="FD80" s="43"/>
      <c r="FE80" s="43"/>
      <c r="FF80" s="43"/>
      <c r="FG80" s="43"/>
      <c r="FH80" s="43"/>
      <c r="FI80" s="43"/>
      <c r="FJ80" s="43"/>
      <c r="FK80" s="43"/>
      <c r="FL80" s="43"/>
      <c r="FM80" s="43"/>
      <c r="FN80" s="43"/>
      <c r="FO80" s="43"/>
      <c r="FP80" s="43"/>
      <c r="FQ80" s="43"/>
      <c r="FR80" s="43"/>
      <c r="FS80" s="43"/>
      <c r="FT80" s="43"/>
      <c r="FU80" s="43"/>
      <c r="FV80" s="43"/>
      <c r="FW80" s="43"/>
      <c r="FX80" s="43"/>
      <c r="FY80" s="43"/>
      <c r="FZ80" s="43"/>
      <c r="GA80" s="43"/>
      <c r="GB80" s="43"/>
      <c r="GC80" s="43"/>
      <c r="GD80" s="43"/>
      <c r="GE80" s="43"/>
      <c r="GF80" s="43"/>
      <c r="GG80" s="43"/>
      <c r="GH80" s="43"/>
      <c r="GI80" s="43"/>
      <c r="GJ80" s="43"/>
      <c r="GK80" s="43"/>
      <c r="GL80" s="43"/>
      <c r="GM80" s="43"/>
      <c r="GN80" s="43"/>
      <c r="GO80" s="43"/>
      <c r="GP80" s="43"/>
      <c r="GQ80" s="43"/>
      <c r="GR80" s="43"/>
      <c r="GS80" s="43"/>
      <c r="GT80" s="43"/>
      <c r="GU80" s="43"/>
      <c r="GV80" s="43"/>
      <c r="GW80" s="43"/>
      <c r="GX80" s="43"/>
      <c r="GY80" s="43"/>
      <c r="GZ80" s="43"/>
      <c r="HA80" s="43"/>
      <c r="HB80" s="43"/>
      <c r="HC80" s="43"/>
      <c r="HD80" s="43"/>
      <c r="HE80" s="43"/>
      <c r="HF80" s="43"/>
      <c r="HG80" s="43"/>
      <c r="HH80" s="43"/>
      <c r="HI80" s="43"/>
      <c r="HJ80" s="43"/>
      <c r="HK80" s="43"/>
      <c r="HL80" s="43"/>
      <c r="HM80" s="43"/>
      <c r="HN80" s="43"/>
      <c r="HO80" s="43"/>
      <c r="HP80" s="43"/>
      <c r="HQ80" s="43"/>
      <c r="HR80" s="43"/>
      <c r="HS80" s="43"/>
      <c r="HT80" s="43"/>
      <c r="HU80" s="43"/>
      <c r="HV80" s="43"/>
      <c r="HW80" s="43"/>
      <c r="HX80" s="43"/>
      <c r="HY80" s="43"/>
      <c r="HZ80" s="43"/>
      <c r="IA80" s="43"/>
      <c r="IB80" s="43"/>
    </row>
    <row r="81" spans="1:236" s="130" customFormat="1" ht="13.5" thickBot="1">
      <c r="A81" s="152"/>
      <c r="B81" s="98"/>
      <c r="C81" s="96"/>
      <c r="D81" s="67"/>
      <c r="E81" s="67"/>
      <c r="F81" s="67"/>
      <c r="G81" s="21" t="s">
        <v>106</v>
      </c>
      <c r="H81" s="484">
        <f>H7-H79</f>
        <v>6900.0618640750763</v>
      </c>
      <c r="I81" s="629">
        <f>I7-I79</f>
        <v>27.059066133627539</v>
      </c>
      <c r="J81" s="157"/>
      <c r="K81" s="222"/>
      <c r="L81" s="222"/>
      <c r="M81" s="222"/>
      <c r="N81" s="222"/>
      <c r="O81" s="222"/>
      <c r="P81" s="222"/>
      <c r="Q81" s="222"/>
      <c r="R81" s="222"/>
      <c r="S81" s="222"/>
      <c r="T81" s="222"/>
      <c r="U81" s="222"/>
      <c r="V81" s="222"/>
      <c r="W81" s="222"/>
      <c r="X81" s="222"/>
      <c r="Y81" s="221"/>
      <c r="Z81" s="221"/>
      <c r="AA81" s="221"/>
      <c r="AB81" s="276"/>
      <c r="AC81" s="276"/>
      <c r="AD81" s="276"/>
      <c r="AE81" s="276"/>
      <c r="AF81" s="276"/>
      <c r="AG81" s="276"/>
      <c r="AH81" s="276"/>
      <c r="AI81" s="276"/>
      <c r="AJ81" s="276"/>
      <c r="AK81" s="276"/>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c r="BY81" s="43"/>
      <c r="BZ81" s="43"/>
      <c r="CA81" s="43"/>
      <c r="CB81" s="43"/>
      <c r="CC81" s="43"/>
      <c r="CD81" s="43"/>
      <c r="CE81" s="43"/>
      <c r="CF81" s="43"/>
      <c r="CG81" s="43"/>
      <c r="CH81" s="43"/>
      <c r="CI81" s="43"/>
      <c r="CJ81" s="43"/>
      <c r="CK81" s="43"/>
      <c r="CL81" s="43"/>
      <c r="CM81" s="43"/>
      <c r="CN81" s="43"/>
      <c r="CO81" s="43"/>
      <c r="CP81" s="43"/>
      <c r="CQ81" s="43"/>
      <c r="CR81" s="43"/>
      <c r="CS81" s="43"/>
      <c r="CT81" s="43"/>
      <c r="CU81" s="43"/>
      <c r="CV81" s="43"/>
      <c r="CW81" s="43"/>
      <c r="CX81" s="43"/>
      <c r="CY81" s="43"/>
      <c r="CZ81" s="43"/>
      <c r="DA81" s="43"/>
      <c r="DB81" s="43"/>
      <c r="DC81" s="43"/>
      <c r="DD81" s="43"/>
      <c r="DE81" s="43"/>
      <c r="DF81" s="43"/>
      <c r="DG81" s="43"/>
      <c r="DH81" s="43"/>
      <c r="DI81" s="43"/>
      <c r="DJ81" s="43"/>
      <c r="DK81" s="43"/>
      <c r="DL81" s="43"/>
      <c r="DM81" s="43"/>
      <c r="DN81" s="43"/>
      <c r="DO81" s="43"/>
      <c r="DP81" s="43"/>
      <c r="DQ81" s="43"/>
      <c r="DR81" s="43"/>
      <c r="DS81" s="43"/>
      <c r="DT81" s="43"/>
      <c r="DU81" s="43"/>
      <c r="DV81" s="43"/>
      <c r="DW81" s="43"/>
      <c r="DX81" s="43"/>
      <c r="DY81" s="43"/>
      <c r="DZ81" s="43"/>
      <c r="EA81" s="43"/>
      <c r="EB81" s="43"/>
      <c r="EC81" s="43"/>
      <c r="ED81" s="43"/>
      <c r="EE81" s="43"/>
      <c r="EF81" s="43"/>
      <c r="EG81" s="43"/>
      <c r="EH81" s="43"/>
      <c r="EI81" s="43"/>
      <c r="EJ81" s="43"/>
      <c r="EK81" s="43"/>
      <c r="EL81" s="43"/>
      <c r="EM81" s="43"/>
      <c r="EN81" s="43"/>
      <c r="EO81" s="43"/>
      <c r="EP81" s="43"/>
      <c r="EQ81" s="43"/>
      <c r="ER81" s="43"/>
      <c r="ES81" s="43"/>
      <c r="ET81" s="43"/>
      <c r="EU81" s="43"/>
      <c r="EV81" s="43"/>
      <c r="EW81" s="43"/>
      <c r="EX81" s="43"/>
      <c r="EY81" s="43"/>
      <c r="EZ81" s="43"/>
      <c r="FA81" s="43"/>
      <c r="FB81" s="43"/>
      <c r="FC81" s="43"/>
      <c r="FD81" s="43"/>
      <c r="FE81" s="43"/>
      <c r="FF81" s="43"/>
      <c r="FG81" s="43"/>
      <c r="FH81" s="43"/>
      <c r="FI81" s="43"/>
      <c r="FJ81" s="43"/>
      <c r="FK81" s="43"/>
      <c r="FL81" s="43"/>
      <c r="FM81" s="43"/>
      <c r="FN81" s="43"/>
      <c r="FO81" s="43"/>
      <c r="FP81" s="43"/>
      <c r="FQ81" s="43"/>
      <c r="FR81" s="43"/>
      <c r="FS81" s="43"/>
      <c r="FT81" s="43"/>
      <c r="FU81" s="43"/>
      <c r="FV81" s="43"/>
      <c r="FW81" s="43"/>
      <c r="FX81" s="43"/>
      <c r="FY81" s="43"/>
      <c r="FZ81" s="43"/>
      <c r="GA81" s="43"/>
      <c r="GB81" s="43"/>
      <c r="GC81" s="43"/>
      <c r="GD81" s="43"/>
      <c r="GE81" s="43"/>
      <c r="GF81" s="43"/>
      <c r="GG81" s="43"/>
      <c r="GH81" s="43"/>
      <c r="GI81" s="43"/>
      <c r="GJ81" s="43"/>
      <c r="GK81" s="43"/>
      <c r="GL81" s="43"/>
      <c r="GM81" s="43"/>
      <c r="GN81" s="43"/>
      <c r="GO81" s="43"/>
      <c r="GP81" s="43"/>
      <c r="GQ81" s="43"/>
      <c r="GR81" s="43"/>
      <c r="GS81" s="43"/>
      <c r="GT81" s="43"/>
      <c r="GU81" s="43"/>
      <c r="GV81" s="43"/>
      <c r="GW81" s="43"/>
      <c r="GX81" s="43"/>
      <c r="GY81" s="43"/>
      <c r="GZ81" s="43"/>
      <c r="HA81" s="43"/>
      <c r="HB81" s="43"/>
      <c r="HC81" s="43"/>
      <c r="HD81" s="43"/>
      <c r="HE81" s="43"/>
      <c r="HF81" s="43"/>
      <c r="HG81" s="43"/>
      <c r="HH81" s="43"/>
      <c r="HI81" s="43"/>
      <c r="HJ81" s="43"/>
      <c r="HK81" s="43"/>
      <c r="HL81" s="43"/>
      <c r="HM81" s="43"/>
      <c r="HN81" s="43"/>
      <c r="HO81" s="43"/>
      <c r="HP81" s="43"/>
      <c r="HQ81" s="43"/>
      <c r="HR81" s="43"/>
      <c r="HS81" s="43"/>
      <c r="HT81" s="43"/>
      <c r="HU81" s="43"/>
      <c r="HV81" s="43"/>
      <c r="HW81" s="43"/>
      <c r="HX81" s="43"/>
      <c r="HY81" s="43"/>
      <c r="HZ81" s="43"/>
      <c r="IA81" s="43"/>
      <c r="IB81" s="43"/>
    </row>
    <row r="82" spans="1:236" s="130" customFormat="1">
      <c r="A82" s="152"/>
      <c r="B82" s="152"/>
      <c r="C82" s="152"/>
      <c r="D82" s="152"/>
      <c r="E82" s="152"/>
      <c r="F82" s="152"/>
      <c r="G82" s="152"/>
      <c r="H82" s="152"/>
      <c r="I82" s="152"/>
      <c r="J82" s="157"/>
      <c r="K82" s="222"/>
      <c r="L82" s="222"/>
      <c r="M82" s="222"/>
      <c r="N82" s="222"/>
      <c r="O82" s="222"/>
      <c r="P82" s="222"/>
      <c r="Q82" s="222"/>
      <c r="R82" s="222"/>
      <c r="S82" s="222"/>
      <c r="T82" s="222"/>
      <c r="U82" s="222"/>
      <c r="V82" s="222"/>
      <c r="W82" s="222"/>
      <c r="X82" s="222"/>
      <c r="Y82" s="221"/>
      <c r="Z82" s="221"/>
      <c r="AA82" s="221"/>
      <c r="AB82" s="276"/>
      <c r="AC82" s="276"/>
      <c r="AD82" s="276"/>
      <c r="AE82" s="276"/>
      <c r="AF82" s="276"/>
      <c r="AG82" s="276"/>
      <c r="AH82" s="276"/>
      <c r="AI82" s="276"/>
      <c r="AJ82" s="276"/>
      <c r="AK82" s="276"/>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c r="BX82" s="43"/>
      <c r="BY82" s="43"/>
      <c r="BZ82" s="43"/>
      <c r="CA82" s="43"/>
      <c r="CB82" s="43"/>
      <c r="CC82" s="43"/>
      <c r="CD82" s="43"/>
      <c r="CE82" s="43"/>
      <c r="CF82" s="43"/>
      <c r="CG82" s="43"/>
      <c r="CH82" s="43"/>
      <c r="CI82" s="43"/>
      <c r="CJ82" s="43"/>
      <c r="CK82" s="43"/>
      <c r="CL82" s="43"/>
      <c r="CM82" s="43"/>
      <c r="CN82" s="43"/>
      <c r="CO82" s="43"/>
      <c r="CP82" s="43"/>
      <c r="CQ82" s="43"/>
      <c r="CR82" s="43"/>
      <c r="CS82" s="43"/>
      <c r="CT82" s="43"/>
      <c r="CU82" s="43"/>
      <c r="CV82" s="43"/>
      <c r="CW82" s="43"/>
      <c r="CX82" s="43"/>
      <c r="CY82" s="43"/>
      <c r="CZ82" s="43"/>
      <c r="DA82" s="43"/>
      <c r="DB82" s="43"/>
      <c r="DC82" s="43"/>
      <c r="DD82" s="43"/>
      <c r="DE82" s="43"/>
      <c r="DF82" s="43"/>
      <c r="DG82" s="43"/>
      <c r="DH82" s="43"/>
      <c r="DI82" s="43"/>
      <c r="DJ82" s="43"/>
      <c r="DK82" s="43"/>
      <c r="DL82" s="43"/>
      <c r="DM82" s="43"/>
      <c r="DN82" s="43"/>
      <c r="DO82" s="43"/>
      <c r="DP82" s="43"/>
      <c r="DQ82" s="43"/>
      <c r="DR82" s="43"/>
      <c r="DS82" s="43"/>
      <c r="DT82" s="43"/>
      <c r="DU82" s="43"/>
      <c r="DV82" s="43"/>
      <c r="DW82" s="43"/>
      <c r="DX82" s="43"/>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row>
    <row r="83" spans="1:236" s="130" customFormat="1">
      <c r="A83" s="152"/>
      <c r="B83" s="152"/>
      <c r="C83" s="152"/>
      <c r="D83" s="152"/>
      <c r="E83" s="152"/>
      <c r="F83" s="152"/>
      <c r="G83" s="152"/>
      <c r="H83" s="152"/>
      <c r="I83" s="152"/>
      <c r="J83" s="157"/>
      <c r="K83" s="222"/>
      <c r="L83" s="222"/>
      <c r="M83" s="222"/>
      <c r="N83" s="222"/>
      <c r="O83" s="222"/>
      <c r="P83" s="222"/>
      <c r="Q83" s="222"/>
      <c r="R83" s="222"/>
      <c r="S83" s="222"/>
      <c r="T83" s="222"/>
      <c r="U83" s="222"/>
      <c r="V83" s="222"/>
      <c r="W83" s="222"/>
      <c r="X83" s="222"/>
      <c r="Y83" s="221"/>
      <c r="Z83" s="221"/>
      <c r="AA83" s="221"/>
      <c r="AB83" s="276"/>
      <c r="AC83" s="276"/>
      <c r="AD83" s="276"/>
      <c r="AE83" s="276"/>
      <c r="AF83" s="276"/>
      <c r="AG83" s="276"/>
      <c r="AH83" s="276"/>
      <c r="AI83" s="276"/>
      <c r="AJ83" s="276"/>
      <c r="AK83" s="276"/>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c r="CB83" s="43"/>
      <c r="CC83" s="43"/>
      <c r="CD83" s="43"/>
      <c r="CE83" s="43"/>
      <c r="CF83" s="43"/>
      <c r="CG83" s="43"/>
      <c r="CH83" s="43"/>
      <c r="CI83" s="43"/>
      <c r="CJ83" s="43"/>
      <c r="CK83" s="43"/>
      <c r="CL83" s="43"/>
      <c r="CM83" s="43"/>
      <c r="CN83" s="43"/>
      <c r="CO83" s="43"/>
      <c r="CP83" s="43"/>
      <c r="CQ83" s="43"/>
      <c r="CR83" s="43"/>
      <c r="CS83" s="43"/>
      <c r="CT83" s="43"/>
      <c r="CU83" s="43"/>
      <c r="CV83" s="43"/>
      <c r="CW83" s="43"/>
      <c r="CX83" s="43"/>
      <c r="CY83" s="43"/>
      <c r="CZ83" s="43"/>
      <c r="DA83" s="43"/>
      <c r="DB83" s="43"/>
      <c r="DC83" s="43"/>
      <c r="DD83" s="43"/>
      <c r="DE83" s="43"/>
      <c r="DF83" s="43"/>
      <c r="DG83" s="43"/>
      <c r="DH83" s="43"/>
      <c r="DI83" s="43"/>
      <c r="DJ83" s="43"/>
      <c r="DK83" s="43"/>
      <c r="DL83" s="43"/>
      <c r="DM83" s="43"/>
      <c r="DN83" s="43"/>
      <c r="DO83" s="43"/>
      <c r="DP83" s="43"/>
      <c r="DQ83" s="43"/>
      <c r="DR83" s="43"/>
      <c r="DS83" s="43"/>
      <c r="DT83" s="43"/>
      <c r="DU83" s="43"/>
      <c r="DV83" s="43"/>
      <c r="DW83" s="43"/>
      <c r="DX83" s="43"/>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row>
    <row r="84" spans="1:236" s="130" customFormat="1">
      <c r="A84" s="152"/>
      <c r="B84" s="152"/>
      <c r="C84" s="152"/>
      <c r="D84" s="152"/>
      <c r="E84" s="152"/>
      <c r="F84" s="152"/>
      <c r="G84" s="152"/>
      <c r="H84" s="152"/>
      <c r="I84" s="152"/>
      <c r="J84" s="157"/>
      <c r="K84" s="222"/>
      <c r="L84" s="222"/>
      <c r="M84" s="222"/>
      <c r="N84" s="222"/>
      <c r="O84" s="222"/>
      <c r="P84" s="222"/>
      <c r="Q84" s="222"/>
      <c r="R84" s="222"/>
      <c r="S84" s="222"/>
      <c r="T84" s="222"/>
      <c r="U84" s="222"/>
      <c r="V84" s="222"/>
      <c r="W84" s="222"/>
      <c r="X84" s="222"/>
      <c r="Y84" s="221"/>
      <c r="Z84" s="221"/>
      <c r="AA84" s="221"/>
      <c r="AB84" s="276"/>
      <c r="AC84" s="276"/>
      <c r="AD84" s="276"/>
      <c r="AE84" s="276"/>
      <c r="AF84" s="276"/>
      <c r="AG84" s="276"/>
      <c r="AH84" s="276"/>
      <c r="AI84" s="276"/>
      <c r="AJ84" s="276"/>
      <c r="AK84" s="276"/>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3"/>
      <c r="CL84" s="43"/>
      <c r="CM84" s="43"/>
      <c r="CN84" s="43"/>
      <c r="CO84" s="43"/>
      <c r="CP84" s="43"/>
      <c r="CQ84" s="43"/>
      <c r="CR84" s="43"/>
      <c r="CS84" s="43"/>
      <c r="CT84" s="43"/>
      <c r="CU84" s="43"/>
      <c r="CV84" s="43"/>
      <c r="CW84" s="43"/>
      <c r="CX84" s="43"/>
      <c r="CY84" s="43"/>
      <c r="CZ84" s="43"/>
      <c r="DA84" s="43"/>
      <c r="DB84" s="43"/>
      <c r="DC84" s="43"/>
      <c r="DD84" s="43"/>
      <c r="DE84" s="43"/>
      <c r="DF84" s="43"/>
      <c r="DG84" s="43"/>
      <c r="DH84" s="43"/>
      <c r="DI84" s="43"/>
      <c r="DJ84" s="43"/>
      <c r="DK84" s="43"/>
      <c r="DL84" s="43"/>
      <c r="DM84" s="43"/>
      <c r="DN84" s="43"/>
      <c r="DO84" s="43"/>
      <c r="DP84" s="43"/>
      <c r="DQ84" s="43"/>
      <c r="DR84" s="43"/>
      <c r="DS84" s="43"/>
      <c r="DT84" s="43"/>
      <c r="DU84" s="43"/>
      <c r="DV84" s="43"/>
      <c r="DW84" s="43"/>
      <c r="DX84" s="43"/>
      <c r="DY84" s="43"/>
      <c r="DZ84" s="43"/>
      <c r="EA84" s="43"/>
      <c r="EB84" s="43"/>
      <c r="EC84" s="43"/>
      <c r="ED84" s="43"/>
      <c r="EE84" s="43"/>
      <c r="EF84" s="43"/>
      <c r="EG84" s="43"/>
      <c r="EH84" s="43"/>
      <c r="EI84" s="43"/>
      <c r="EJ84" s="43"/>
      <c r="EK84" s="43"/>
      <c r="EL84" s="43"/>
      <c r="EM84" s="43"/>
      <c r="EN84" s="43"/>
      <c r="EO84" s="43"/>
      <c r="EP84" s="43"/>
      <c r="EQ84" s="43"/>
      <c r="ER84" s="43"/>
      <c r="ES84" s="43"/>
      <c r="ET84" s="43"/>
      <c r="EU84" s="43"/>
      <c r="EV84" s="43"/>
      <c r="EW84" s="43"/>
      <c r="EX84" s="43"/>
      <c r="EY84" s="43"/>
      <c r="EZ84" s="43"/>
      <c r="FA84" s="43"/>
      <c r="FB84" s="43"/>
      <c r="FC84" s="43"/>
      <c r="FD84" s="43"/>
      <c r="FE84" s="43"/>
      <c r="FF84" s="43"/>
      <c r="FG84" s="43"/>
      <c r="FH84" s="43"/>
      <c r="FI84" s="43"/>
      <c r="FJ84" s="43"/>
      <c r="FK84" s="43"/>
      <c r="FL84" s="43"/>
      <c r="FM84" s="43"/>
      <c r="FN84" s="43"/>
      <c r="FO84" s="43"/>
      <c r="FP84" s="43"/>
      <c r="FQ84" s="43"/>
      <c r="FR84" s="43"/>
      <c r="FS84" s="43"/>
      <c r="FT84" s="43"/>
      <c r="FU84" s="43"/>
      <c r="FV84" s="43"/>
      <c r="FW84" s="43"/>
      <c r="FX84" s="43"/>
      <c r="FY84" s="43"/>
      <c r="FZ84" s="43"/>
      <c r="GA84" s="43"/>
      <c r="GB84" s="43"/>
      <c r="GC84" s="43"/>
      <c r="GD84" s="43"/>
      <c r="GE84" s="43"/>
      <c r="GF84" s="43"/>
      <c r="GG84" s="43"/>
      <c r="GH84" s="43"/>
      <c r="GI84" s="43"/>
      <c r="GJ84" s="43"/>
      <c r="GK84" s="43"/>
      <c r="GL84" s="43"/>
      <c r="GM84" s="43"/>
      <c r="GN84" s="43"/>
      <c r="GO84" s="43"/>
      <c r="GP84" s="43"/>
      <c r="GQ84" s="43"/>
      <c r="GR84" s="43"/>
      <c r="GS84" s="43"/>
      <c r="GT84" s="43"/>
      <c r="GU84" s="43"/>
      <c r="GV84" s="43"/>
      <c r="GW84" s="43"/>
      <c r="GX84" s="43"/>
      <c r="GY84" s="43"/>
      <c r="GZ84" s="43"/>
      <c r="HA84" s="43"/>
      <c r="HB84" s="43"/>
      <c r="HC84" s="43"/>
      <c r="HD84" s="43"/>
      <c r="HE84" s="43"/>
      <c r="HF84" s="43"/>
      <c r="HG84" s="43"/>
      <c r="HH84" s="43"/>
      <c r="HI84" s="43"/>
      <c r="HJ84" s="43"/>
      <c r="HK84" s="43"/>
      <c r="HL84" s="43"/>
      <c r="HM84" s="43"/>
      <c r="HN84" s="43"/>
      <c r="HO84" s="43"/>
      <c r="HP84" s="43"/>
      <c r="HQ84" s="43"/>
      <c r="HR84" s="43"/>
      <c r="HS84" s="43"/>
      <c r="HT84" s="43"/>
      <c r="HU84" s="43"/>
      <c r="HV84" s="43"/>
      <c r="HW84" s="43"/>
      <c r="HX84" s="43"/>
      <c r="HY84" s="43"/>
      <c r="HZ84" s="43"/>
      <c r="IA84" s="43"/>
      <c r="IB84" s="43"/>
    </row>
    <row r="85" spans="1:236" s="130" customFormat="1">
      <c r="A85" s="152"/>
      <c r="B85" s="152"/>
      <c r="C85" s="152"/>
      <c r="D85" s="152"/>
      <c r="E85" s="152"/>
      <c r="F85" s="152"/>
      <c r="G85" s="152"/>
      <c r="H85" s="152"/>
      <c r="I85" s="152"/>
      <c r="J85" s="157"/>
      <c r="K85" s="222"/>
      <c r="L85" s="222"/>
      <c r="M85" s="222"/>
      <c r="N85" s="222"/>
      <c r="O85" s="222"/>
      <c r="P85" s="222"/>
      <c r="Q85" s="222"/>
      <c r="R85" s="222"/>
      <c r="S85" s="222"/>
      <c r="T85" s="222"/>
      <c r="U85" s="222"/>
      <c r="V85" s="222"/>
      <c r="W85" s="222"/>
      <c r="X85" s="222"/>
      <c r="Y85" s="221"/>
      <c r="Z85" s="221"/>
      <c r="AA85" s="221"/>
      <c r="AB85" s="276"/>
      <c r="AC85" s="276"/>
      <c r="AD85" s="276"/>
      <c r="AE85" s="276"/>
      <c r="AF85" s="276"/>
      <c r="AG85" s="276"/>
      <c r="AH85" s="276"/>
      <c r="AI85" s="276"/>
      <c r="AJ85" s="276"/>
      <c r="AK85" s="276"/>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43"/>
      <c r="CK85" s="43"/>
      <c r="CL85" s="43"/>
      <c r="CM85" s="43"/>
      <c r="CN85" s="43"/>
      <c r="CO85" s="43"/>
      <c r="CP85" s="43"/>
      <c r="CQ85" s="43"/>
      <c r="CR85" s="43"/>
      <c r="CS85" s="43"/>
      <c r="CT85" s="43"/>
      <c r="CU85" s="43"/>
      <c r="CV85" s="43"/>
      <c r="CW85" s="43"/>
      <c r="CX85" s="43"/>
      <c r="CY85" s="43"/>
      <c r="CZ85" s="43"/>
      <c r="DA85" s="43"/>
      <c r="DB85" s="43"/>
      <c r="DC85" s="43"/>
      <c r="DD85" s="43"/>
      <c r="DE85" s="43"/>
      <c r="DF85" s="43"/>
      <c r="DG85" s="43"/>
      <c r="DH85" s="43"/>
      <c r="DI85" s="43"/>
      <c r="DJ85" s="43"/>
      <c r="DK85" s="43"/>
      <c r="DL85" s="43"/>
      <c r="DM85" s="43"/>
      <c r="DN85" s="43"/>
      <c r="DO85" s="43"/>
      <c r="DP85" s="43"/>
      <c r="DQ85" s="43"/>
      <c r="DR85" s="43"/>
      <c r="DS85" s="43"/>
      <c r="DT85" s="43"/>
      <c r="DU85" s="43"/>
      <c r="DV85" s="43"/>
      <c r="DW85" s="43"/>
      <c r="DX85" s="43"/>
      <c r="DY85" s="43"/>
      <c r="DZ85" s="43"/>
      <c r="EA85" s="43"/>
      <c r="EB85" s="43"/>
      <c r="EC85" s="43"/>
      <c r="ED85" s="43"/>
      <c r="EE85" s="43"/>
      <c r="EF85" s="43"/>
      <c r="EG85" s="43"/>
      <c r="EH85" s="43"/>
      <c r="EI85" s="43"/>
      <c r="EJ85" s="43"/>
      <c r="EK85" s="43"/>
      <c r="EL85" s="43"/>
      <c r="EM85" s="43"/>
      <c r="EN85" s="43"/>
      <c r="EO85" s="43"/>
      <c r="EP85" s="43"/>
      <c r="EQ85" s="43"/>
      <c r="ER85" s="43"/>
      <c r="ES85" s="43"/>
      <c r="ET85" s="43"/>
      <c r="EU85" s="43"/>
      <c r="EV85" s="43"/>
      <c r="EW85" s="43"/>
      <c r="EX85" s="43"/>
      <c r="EY85" s="43"/>
      <c r="EZ85" s="43"/>
      <c r="FA85" s="43"/>
      <c r="FB85" s="43"/>
      <c r="FC85" s="43"/>
      <c r="FD85" s="43"/>
      <c r="FE85" s="43"/>
      <c r="FF85" s="43"/>
      <c r="FG85" s="43"/>
      <c r="FH85" s="43"/>
      <c r="FI85" s="43"/>
      <c r="FJ85" s="43"/>
      <c r="FK85" s="43"/>
      <c r="FL85" s="43"/>
      <c r="FM85" s="43"/>
      <c r="FN85" s="43"/>
      <c r="FO85" s="43"/>
      <c r="FP85" s="43"/>
      <c r="FQ85" s="43"/>
      <c r="FR85" s="43"/>
      <c r="FS85" s="43"/>
      <c r="FT85" s="43"/>
      <c r="FU85" s="43"/>
      <c r="FV85" s="43"/>
      <c r="FW85" s="43"/>
      <c r="FX85" s="43"/>
      <c r="FY85" s="43"/>
      <c r="FZ85" s="43"/>
      <c r="GA85" s="43"/>
      <c r="GB85" s="43"/>
      <c r="GC85" s="43"/>
      <c r="GD85" s="43"/>
      <c r="GE85" s="43"/>
      <c r="GF85" s="43"/>
      <c r="GG85" s="43"/>
      <c r="GH85" s="43"/>
      <c r="GI85" s="43"/>
      <c r="GJ85" s="43"/>
      <c r="GK85" s="43"/>
      <c r="GL85" s="43"/>
      <c r="GM85" s="43"/>
      <c r="GN85" s="43"/>
      <c r="GO85" s="43"/>
      <c r="GP85" s="43"/>
      <c r="GQ85" s="43"/>
      <c r="GR85" s="43"/>
      <c r="GS85" s="43"/>
      <c r="GT85" s="43"/>
      <c r="GU85" s="43"/>
      <c r="GV85" s="43"/>
      <c r="GW85" s="43"/>
      <c r="GX85" s="43"/>
      <c r="GY85" s="43"/>
      <c r="GZ85" s="43"/>
      <c r="HA85" s="43"/>
      <c r="HB85" s="43"/>
      <c r="HC85" s="43"/>
      <c r="HD85" s="43"/>
      <c r="HE85" s="43"/>
      <c r="HF85" s="43"/>
      <c r="HG85" s="43"/>
      <c r="HH85" s="43"/>
      <c r="HI85" s="43"/>
      <c r="HJ85" s="43"/>
      <c r="HK85" s="43"/>
      <c r="HL85" s="43"/>
      <c r="HM85" s="43"/>
      <c r="HN85" s="43"/>
      <c r="HO85" s="43"/>
      <c r="HP85" s="43"/>
      <c r="HQ85" s="43"/>
      <c r="HR85" s="43"/>
      <c r="HS85" s="43"/>
      <c r="HT85" s="43"/>
      <c r="HU85" s="43"/>
      <c r="HV85" s="43"/>
      <c r="HW85" s="43"/>
      <c r="HX85" s="43"/>
      <c r="HY85" s="43"/>
      <c r="HZ85" s="43"/>
      <c r="IA85" s="43"/>
      <c r="IB85" s="43"/>
    </row>
    <row r="86" spans="1:236" s="130" customFormat="1">
      <c r="A86" s="152"/>
      <c r="B86" s="152"/>
      <c r="C86" s="152"/>
      <c r="D86" s="152"/>
      <c r="E86" s="152"/>
      <c r="F86" s="152"/>
      <c r="G86" s="152"/>
      <c r="H86" s="152"/>
      <c r="I86" s="152"/>
      <c r="J86" s="157"/>
      <c r="K86" s="222"/>
      <c r="L86" s="222"/>
      <c r="M86" s="222"/>
      <c r="N86" s="222"/>
      <c r="O86" s="222"/>
      <c r="P86" s="222"/>
      <c r="Q86" s="222"/>
      <c r="R86" s="222"/>
      <c r="S86" s="222"/>
      <c r="T86" s="222"/>
      <c r="U86" s="222"/>
      <c r="V86" s="222"/>
      <c r="W86" s="222"/>
      <c r="X86" s="222"/>
      <c r="Y86" s="221"/>
      <c r="Z86" s="221"/>
      <c r="AA86" s="221"/>
      <c r="AB86" s="276"/>
      <c r="AC86" s="276"/>
      <c r="AD86" s="276"/>
      <c r="AE86" s="276"/>
      <c r="AF86" s="276"/>
      <c r="AG86" s="276"/>
      <c r="AH86" s="276"/>
      <c r="AI86" s="276"/>
      <c r="AJ86" s="276"/>
      <c r="AK86" s="276"/>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c r="CB86" s="43"/>
      <c r="CC86" s="43"/>
      <c r="CD86" s="43"/>
      <c r="CE86" s="43"/>
      <c r="CF86" s="43"/>
      <c r="CG86" s="43"/>
      <c r="CH86" s="43"/>
      <c r="CI86" s="43"/>
      <c r="CJ86" s="43"/>
      <c r="CK86" s="43"/>
      <c r="CL86" s="43"/>
      <c r="CM86" s="43"/>
      <c r="CN86" s="43"/>
      <c r="CO86" s="43"/>
      <c r="CP86" s="43"/>
      <c r="CQ86" s="43"/>
      <c r="CR86" s="43"/>
      <c r="CS86" s="43"/>
      <c r="CT86" s="43"/>
      <c r="CU86" s="43"/>
      <c r="CV86" s="43"/>
      <c r="CW86" s="43"/>
      <c r="CX86" s="43"/>
      <c r="CY86" s="43"/>
      <c r="CZ86" s="43"/>
      <c r="DA86" s="43"/>
      <c r="DB86" s="43"/>
      <c r="DC86" s="43"/>
      <c r="DD86" s="43"/>
      <c r="DE86" s="43"/>
      <c r="DF86" s="43"/>
      <c r="DG86" s="43"/>
      <c r="DH86" s="43"/>
      <c r="DI86" s="43"/>
      <c r="DJ86" s="43"/>
      <c r="DK86" s="43"/>
      <c r="DL86" s="43"/>
      <c r="DM86" s="43"/>
      <c r="DN86" s="43"/>
      <c r="DO86" s="43"/>
      <c r="DP86" s="43"/>
      <c r="DQ86" s="43"/>
      <c r="DR86" s="43"/>
      <c r="DS86" s="43"/>
      <c r="DT86" s="43"/>
      <c r="DU86" s="43"/>
      <c r="DV86" s="43"/>
      <c r="DW86" s="43"/>
      <c r="DX86" s="43"/>
      <c r="DY86" s="43"/>
      <c r="DZ86" s="43"/>
      <c r="EA86" s="43"/>
      <c r="EB86" s="43"/>
      <c r="EC86" s="43"/>
      <c r="ED86" s="43"/>
      <c r="EE86" s="43"/>
      <c r="EF86" s="43"/>
      <c r="EG86" s="43"/>
      <c r="EH86" s="43"/>
      <c r="EI86" s="43"/>
      <c r="EJ86" s="43"/>
      <c r="EK86" s="43"/>
      <c r="EL86" s="43"/>
      <c r="EM86" s="43"/>
      <c r="EN86" s="43"/>
      <c r="EO86" s="43"/>
      <c r="EP86" s="43"/>
      <c r="EQ86" s="43"/>
      <c r="ER86" s="43"/>
      <c r="ES86" s="43"/>
      <c r="ET86" s="43"/>
      <c r="EU86" s="43"/>
      <c r="EV86" s="43"/>
      <c r="EW86" s="43"/>
      <c r="EX86" s="43"/>
      <c r="EY86" s="43"/>
      <c r="EZ86" s="43"/>
      <c r="FA86" s="43"/>
      <c r="FB86" s="43"/>
      <c r="FC86" s="43"/>
      <c r="FD86" s="43"/>
      <c r="FE86" s="43"/>
      <c r="FF86" s="43"/>
      <c r="FG86" s="43"/>
      <c r="FH86" s="43"/>
      <c r="FI86" s="43"/>
      <c r="FJ86" s="43"/>
      <c r="FK86" s="43"/>
      <c r="FL86" s="43"/>
      <c r="FM86" s="43"/>
      <c r="FN86" s="43"/>
      <c r="FO86" s="43"/>
      <c r="FP86" s="43"/>
      <c r="FQ86" s="43"/>
      <c r="FR86" s="43"/>
      <c r="FS86" s="43"/>
      <c r="FT86" s="43"/>
      <c r="FU86" s="43"/>
      <c r="FV86" s="43"/>
      <c r="FW86" s="43"/>
      <c r="FX86" s="43"/>
      <c r="FY86" s="43"/>
      <c r="FZ86" s="43"/>
      <c r="GA86" s="43"/>
      <c r="GB86" s="43"/>
      <c r="GC86" s="43"/>
      <c r="GD86" s="43"/>
      <c r="GE86" s="43"/>
      <c r="GF86" s="43"/>
      <c r="GG86" s="43"/>
      <c r="GH86" s="43"/>
      <c r="GI86" s="43"/>
      <c r="GJ86" s="43"/>
      <c r="GK86" s="43"/>
      <c r="GL86" s="43"/>
      <c r="GM86" s="43"/>
      <c r="GN86" s="43"/>
      <c r="GO86" s="43"/>
      <c r="GP86" s="43"/>
      <c r="GQ86" s="43"/>
      <c r="GR86" s="43"/>
      <c r="GS86" s="43"/>
      <c r="GT86" s="43"/>
      <c r="GU86" s="43"/>
      <c r="GV86" s="43"/>
      <c r="GW86" s="43"/>
      <c r="GX86" s="43"/>
      <c r="GY86" s="43"/>
      <c r="GZ86" s="43"/>
      <c r="HA86" s="43"/>
      <c r="HB86" s="43"/>
      <c r="HC86" s="43"/>
      <c r="HD86" s="43"/>
      <c r="HE86" s="43"/>
      <c r="HF86" s="43"/>
      <c r="HG86" s="43"/>
      <c r="HH86" s="43"/>
      <c r="HI86" s="43"/>
      <c r="HJ86" s="43"/>
      <c r="HK86" s="43"/>
      <c r="HL86" s="43"/>
      <c r="HM86" s="43"/>
      <c r="HN86" s="43"/>
      <c r="HO86" s="43"/>
      <c r="HP86" s="43"/>
      <c r="HQ86" s="43"/>
      <c r="HR86" s="43"/>
      <c r="HS86" s="43"/>
      <c r="HT86" s="43"/>
      <c r="HU86" s="43"/>
      <c r="HV86" s="43"/>
      <c r="HW86" s="43"/>
      <c r="HX86" s="43"/>
      <c r="HY86" s="43"/>
      <c r="HZ86" s="43"/>
      <c r="IA86" s="43"/>
      <c r="IB86" s="43"/>
    </row>
    <row r="87" spans="1:236" s="130" customFormat="1">
      <c r="A87" s="152"/>
      <c r="B87" s="152"/>
      <c r="C87" s="152"/>
      <c r="D87" s="152"/>
      <c r="E87" s="152"/>
      <c r="F87" s="152"/>
      <c r="G87" s="152"/>
      <c r="H87" s="152"/>
      <c r="I87" s="152"/>
      <c r="J87" s="157"/>
      <c r="K87" s="222"/>
      <c r="L87" s="222"/>
      <c r="M87" s="222"/>
      <c r="N87" s="222"/>
      <c r="O87" s="222"/>
      <c r="P87" s="222"/>
      <c r="Q87" s="222"/>
      <c r="R87" s="222"/>
      <c r="S87" s="222"/>
      <c r="T87" s="222"/>
      <c r="U87" s="222"/>
      <c r="V87" s="222"/>
      <c r="W87" s="222"/>
      <c r="X87" s="222"/>
      <c r="Y87" s="221"/>
      <c r="Z87" s="221"/>
      <c r="AA87" s="221"/>
      <c r="AB87" s="276"/>
      <c r="AC87" s="276"/>
      <c r="AD87" s="276"/>
      <c r="AE87" s="276"/>
      <c r="AF87" s="276"/>
      <c r="AG87" s="276"/>
      <c r="AH87" s="276"/>
      <c r="AI87" s="276"/>
      <c r="AJ87" s="276"/>
      <c r="AK87" s="276"/>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row>
    <row r="88" spans="1:236" s="130" customFormat="1">
      <c r="A88" s="152"/>
      <c r="B88" s="152"/>
      <c r="C88" s="152"/>
      <c r="D88" s="152"/>
      <c r="E88" s="152"/>
      <c r="F88" s="152"/>
      <c r="G88" s="152"/>
      <c r="H88" s="152"/>
      <c r="I88" s="152"/>
      <c r="J88" s="157"/>
      <c r="K88" s="222"/>
      <c r="L88" s="222"/>
      <c r="M88" s="222"/>
      <c r="N88" s="222"/>
      <c r="O88" s="222"/>
      <c r="P88" s="222"/>
      <c r="Q88" s="222"/>
      <c r="R88" s="222"/>
      <c r="S88" s="222"/>
      <c r="T88" s="222"/>
      <c r="U88" s="222"/>
      <c r="V88" s="222"/>
      <c r="W88" s="222"/>
      <c r="X88" s="222"/>
      <c r="Y88" s="221"/>
      <c r="Z88" s="221"/>
      <c r="AA88" s="221"/>
      <c r="AB88" s="276"/>
      <c r="AC88" s="276"/>
      <c r="AD88" s="276"/>
      <c r="AE88" s="276"/>
      <c r="AF88" s="276"/>
      <c r="AG88" s="276"/>
      <c r="AH88" s="276"/>
      <c r="AI88" s="276"/>
      <c r="AJ88" s="276"/>
      <c r="AK88" s="276"/>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c r="DD88" s="43"/>
      <c r="DE88" s="43"/>
      <c r="DF88" s="43"/>
      <c r="DG88" s="43"/>
      <c r="DH88" s="43"/>
      <c r="DI88" s="43"/>
      <c r="DJ88" s="43"/>
      <c r="DK88" s="43"/>
      <c r="DL88" s="43"/>
      <c r="DM88" s="43"/>
      <c r="DN88" s="43"/>
      <c r="DO88" s="43"/>
      <c r="DP88" s="43"/>
      <c r="DQ88" s="43"/>
      <c r="DR88" s="43"/>
      <c r="DS88" s="43"/>
      <c r="DT88" s="43"/>
      <c r="DU88" s="43"/>
      <c r="DV88" s="43"/>
      <c r="DW88" s="43"/>
      <c r="DX88" s="43"/>
      <c r="DY88" s="43"/>
      <c r="DZ88" s="43"/>
      <c r="EA88" s="43"/>
      <c r="EB88" s="43"/>
      <c r="EC88" s="43"/>
      <c r="ED88" s="43"/>
      <c r="EE88" s="43"/>
      <c r="EF88" s="43"/>
      <c r="EG88" s="43"/>
      <c r="EH88" s="43"/>
      <c r="EI88" s="43"/>
      <c r="EJ88" s="43"/>
      <c r="EK88" s="43"/>
      <c r="EL88" s="43"/>
      <c r="EM88" s="43"/>
      <c r="EN88" s="43"/>
      <c r="EO88" s="43"/>
      <c r="EP88" s="43"/>
      <c r="EQ88" s="43"/>
      <c r="ER88" s="43"/>
      <c r="ES88" s="43"/>
      <c r="ET88" s="43"/>
      <c r="EU88" s="43"/>
      <c r="EV88" s="43"/>
      <c r="EW88" s="43"/>
      <c r="EX88" s="43"/>
      <c r="EY88" s="43"/>
      <c r="EZ88" s="43"/>
      <c r="FA88" s="43"/>
      <c r="FB88" s="43"/>
      <c r="FC88" s="43"/>
      <c r="FD88" s="43"/>
      <c r="FE88" s="43"/>
      <c r="FF88" s="43"/>
      <c r="FG88" s="43"/>
      <c r="FH88" s="43"/>
      <c r="FI88" s="43"/>
      <c r="FJ88" s="43"/>
      <c r="FK88" s="43"/>
      <c r="FL88" s="43"/>
      <c r="FM88" s="43"/>
      <c r="FN88" s="43"/>
      <c r="FO88" s="43"/>
      <c r="FP88" s="43"/>
      <c r="FQ88" s="43"/>
      <c r="FR88" s="43"/>
      <c r="FS88" s="43"/>
      <c r="FT88" s="43"/>
      <c r="FU88" s="43"/>
      <c r="FV88" s="43"/>
      <c r="FW88" s="43"/>
      <c r="FX88" s="43"/>
      <c r="FY88" s="43"/>
      <c r="FZ88" s="43"/>
      <c r="GA88" s="43"/>
      <c r="GB88" s="43"/>
      <c r="GC88" s="43"/>
      <c r="GD88" s="43"/>
      <c r="GE88" s="43"/>
      <c r="GF88" s="43"/>
      <c r="GG88" s="43"/>
      <c r="GH88" s="43"/>
      <c r="GI88" s="43"/>
      <c r="GJ88" s="43"/>
      <c r="GK88" s="43"/>
      <c r="GL88" s="43"/>
      <c r="GM88" s="43"/>
      <c r="GN88" s="43"/>
      <c r="GO88" s="43"/>
      <c r="GP88" s="43"/>
      <c r="GQ88" s="43"/>
      <c r="GR88" s="43"/>
      <c r="GS88" s="43"/>
      <c r="GT88" s="43"/>
      <c r="GU88" s="43"/>
      <c r="GV88" s="43"/>
      <c r="GW88" s="43"/>
      <c r="GX88" s="43"/>
      <c r="GY88" s="43"/>
      <c r="GZ88" s="43"/>
      <c r="HA88" s="43"/>
      <c r="HB88" s="43"/>
      <c r="HC88" s="43"/>
      <c r="HD88" s="43"/>
      <c r="HE88" s="43"/>
      <c r="HF88" s="43"/>
      <c r="HG88" s="43"/>
      <c r="HH88" s="43"/>
      <c r="HI88" s="43"/>
      <c r="HJ88" s="43"/>
      <c r="HK88" s="43"/>
      <c r="HL88" s="43"/>
      <c r="HM88" s="43"/>
      <c r="HN88" s="43"/>
      <c r="HO88" s="43"/>
      <c r="HP88" s="43"/>
      <c r="HQ88" s="43"/>
      <c r="HR88" s="43"/>
      <c r="HS88" s="43"/>
      <c r="HT88" s="43"/>
      <c r="HU88" s="43"/>
      <c r="HV88" s="43"/>
      <c r="HW88" s="43"/>
      <c r="HX88" s="43"/>
      <c r="HY88" s="43"/>
      <c r="HZ88" s="43"/>
      <c r="IA88" s="43"/>
      <c r="IB88" s="43"/>
    </row>
    <row r="89" spans="1:236" s="130" customFormat="1">
      <c r="A89" s="152"/>
      <c r="B89" s="152"/>
      <c r="C89" s="152"/>
      <c r="D89" s="152"/>
      <c r="E89" s="152"/>
      <c r="F89" s="152"/>
      <c r="G89" s="152"/>
      <c r="H89" s="152"/>
      <c r="I89" s="152"/>
      <c r="J89" s="157"/>
      <c r="K89" s="222"/>
      <c r="L89" s="222"/>
      <c r="M89" s="222"/>
      <c r="N89" s="222"/>
      <c r="O89" s="222"/>
      <c r="P89" s="222"/>
      <c r="Q89" s="222"/>
      <c r="R89" s="222"/>
      <c r="S89" s="222"/>
      <c r="T89" s="222"/>
      <c r="U89" s="222"/>
      <c r="V89" s="222"/>
      <c r="W89" s="222"/>
      <c r="X89" s="222"/>
      <c r="Y89" s="221"/>
      <c r="Z89" s="221"/>
      <c r="AA89" s="221"/>
      <c r="AB89" s="276"/>
      <c r="AC89" s="276"/>
      <c r="AD89" s="276"/>
      <c r="AE89" s="276"/>
      <c r="AF89" s="276"/>
      <c r="AG89" s="276"/>
      <c r="AH89" s="276"/>
      <c r="AI89" s="276"/>
      <c r="AJ89" s="276"/>
      <c r="AK89" s="276"/>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c r="DD89" s="43"/>
      <c r="DE89" s="43"/>
      <c r="DF89" s="43"/>
      <c r="DG89" s="43"/>
      <c r="DH89" s="43"/>
      <c r="DI89" s="43"/>
      <c r="DJ89" s="43"/>
      <c r="DK89" s="43"/>
      <c r="DL89" s="43"/>
      <c r="DM89" s="43"/>
      <c r="DN89" s="43"/>
      <c r="DO89" s="43"/>
      <c r="DP89" s="43"/>
      <c r="DQ89" s="43"/>
      <c r="DR89" s="43"/>
      <c r="DS89" s="43"/>
      <c r="DT89" s="43"/>
      <c r="DU89" s="43"/>
      <c r="DV89" s="43"/>
      <c r="DW89" s="43"/>
      <c r="DX89" s="43"/>
      <c r="DY89" s="43"/>
      <c r="DZ89" s="43"/>
      <c r="EA89" s="43"/>
      <c r="EB89" s="43"/>
      <c r="EC89" s="43"/>
      <c r="ED89" s="43"/>
      <c r="EE89" s="43"/>
      <c r="EF89" s="43"/>
      <c r="EG89" s="43"/>
      <c r="EH89" s="43"/>
      <c r="EI89" s="43"/>
      <c r="EJ89" s="43"/>
      <c r="EK89" s="43"/>
      <c r="EL89" s="43"/>
      <c r="EM89" s="43"/>
      <c r="EN89" s="43"/>
      <c r="EO89" s="43"/>
      <c r="EP89" s="43"/>
      <c r="EQ89" s="43"/>
      <c r="ER89" s="43"/>
      <c r="ES89" s="43"/>
      <c r="ET89" s="43"/>
      <c r="EU89" s="43"/>
      <c r="EV89" s="43"/>
      <c r="EW89" s="43"/>
      <c r="EX89" s="43"/>
      <c r="EY89" s="43"/>
      <c r="EZ89" s="43"/>
      <c r="FA89" s="43"/>
      <c r="FB89" s="43"/>
      <c r="FC89" s="43"/>
      <c r="FD89" s="43"/>
      <c r="FE89" s="43"/>
      <c r="FF89" s="43"/>
      <c r="FG89" s="43"/>
      <c r="FH89" s="43"/>
      <c r="FI89" s="43"/>
      <c r="FJ89" s="43"/>
      <c r="FK89" s="43"/>
      <c r="FL89" s="43"/>
      <c r="FM89" s="43"/>
      <c r="FN89" s="43"/>
      <c r="FO89" s="43"/>
      <c r="FP89" s="43"/>
      <c r="FQ89" s="43"/>
      <c r="FR89" s="43"/>
      <c r="FS89" s="43"/>
      <c r="FT89" s="43"/>
      <c r="FU89" s="43"/>
      <c r="FV89" s="43"/>
      <c r="FW89" s="43"/>
      <c r="FX89" s="43"/>
      <c r="FY89" s="43"/>
      <c r="FZ89" s="43"/>
      <c r="GA89" s="43"/>
      <c r="GB89" s="43"/>
      <c r="GC89" s="43"/>
      <c r="GD89" s="43"/>
      <c r="GE89" s="43"/>
      <c r="GF89" s="43"/>
      <c r="GG89" s="43"/>
      <c r="GH89" s="43"/>
      <c r="GI89" s="43"/>
      <c r="GJ89" s="43"/>
      <c r="GK89" s="43"/>
      <c r="GL89" s="43"/>
      <c r="GM89" s="43"/>
      <c r="GN89" s="43"/>
      <c r="GO89" s="43"/>
      <c r="GP89" s="43"/>
      <c r="GQ89" s="43"/>
      <c r="GR89" s="43"/>
      <c r="GS89" s="43"/>
      <c r="GT89" s="43"/>
      <c r="GU89" s="43"/>
      <c r="GV89" s="43"/>
      <c r="GW89" s="43"/>
      <c r="GX89" s="43"/>
      <c r="GY89" s="43"/>
      <c r="GZ89" s="43"/>
      <c r="HA89" s="43"/>
      <c r="HB89" s="43"/>
      <c r="HC89" s="43"/>
      <c r="HD89" s="43"/>
      <c r="HE89" s="43"/>
      <c r="HF89" s="43"/>
      <c r="HG89" s="43"/>
      <c r="HH89" s="43"/>
      <c r="HI89" s="43"/>
      <c r="HJ89" s="43"/>
      <c r="HK89" s="43"/>
      <c r="HL89" s="43"/>
      <c r="HM89" s="43"/>
      <c r="HN89" s="43"/>
      <c r="HO89" s="43"/>
      <c r="HP89" s="43"/>
      <c r="HQ89" s="43"/>
      <c r="HR89" s="43"/>
      <c r="HS89" s="43"/>
      <c r="HT89" s="43"/>
      <c r="HU89" s="43"/>
      <c r="HV89" s="43"/>
      <c r="HW89" s="43"/>
      <c r="HX89" s="43"/>
      <c r="HY89" s="43"/>
      <c r="HZ89" s="43"/>
      <c r="IA89" s="43"/>
      <c r="IB89" s="43"/>
    </row>
    <row r="90" spans="1:236" s="130" customFormat="1">
      <c r="A90" s="152"/>
      <c r="B90" s="152"/>
      <c r="C90" s="152"/>
      <c r="D90" s="152"/>
      <c r="E90" s="152"/>
      <c r="F90" s="152"/>
      <c r="G90" s="152"/>
      <c r="H90" s="152"/>
      <c r="I90" s="152"/>
      <c r="J90" s="157"/>
      <c r="K90" s="222"/>
      <c r="L90" s="222"/>
      <c r="M90" s="222"/>
      <c r="N90" s="222"/>
      <c r="O90" s="222"/>
      <c r="P90" s="222"/>
      <c r="Q90" s="222"/>
      <c r="R90" s="222"/>
      <c r="S90" s="222"/>
      <c r="T90" s="222"/>
      <c r="U90" s="222"/>
      <c r="V90" s="222"/>
      <c r="W90" s="222"/>
      <c r="X90" s="222"/>
      <c r="Y90" s="221"/>
      <c r="Z90" s="221"/>
      <c r="AA90" s="221"/>
      <c r="AB90" s="276"/>
      <c r="AC90" s="276"/>
      <c r="AD90" s="276"/>
      <c r="AE90" s="276"/>
      <c r="AF90" s="276"/>
      <c r="AG90" s="276"/>
      <c r="AH90" s="276"/>
      <c r="AI90" s="276"/>
      <c r="AJ90" s="276"/>
      <c r="AK90" s="276"/>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c r="DD90" s="43"/>
      <c r="DE90" s="43"/>
      <c r="DF90" s="43"/>
      <c r="DG90" s="43"/>
      <c r="DH90" s="43"/>
      <c r="DI90" s="43"/>
      <c r="DJ90" s="43"/>
      <c r="DK90" s="43"/>
      <c r="DL90" s="43"/>
      <c r="DM90" s="43"/>
      <c r="DN90" s="43"/>
      <c r="DO90" s="43"/>
      <c r="DP90" s="43"/>
      <c r="DQ90" s="43"/>
      <c r="DR90" s="43"/>
      <c r="DS90" s="43"/>
      <c r="DT90" s="43"/>
      <c r="DU90" s="43"/>
      <c r="DV90" s="43"/>
      <c r="DW90" s="43"/>
      <c r="DX90" s="43"/>
      <c r="DY90" s="43"/>
      <c r="DZ90" s="43"/>
      <c r="EA90" s="43"/>
      <c r="EB90" s="43"/>
      <c r="EC90" s="43"/>
      <c r="ED90" s="43"/>
      <c r="EE90" s="43"/>
      <c r="EF90" s="43"/>
      <c r="EG90" s="43"/>
      <c r="EH90" s="43"/>
      <c r="EI90" s="43"/>
      <c r="EJ90" s="43"/>
      <c r="EK90" s="43"/>
      <c r="EL90" s="43"/>
      <c r="EM90" s="43"/>
      <c r="EN90" s="43"/>
      <c r="EO90" s="43"/>
      <c r="EP90" s="43"/>
      <c r="EQ90" s="43"/>
      <c r="ER90" s="43"/>
      <c r="ES90" s="43"/>
      <c r="ET90" s="43"/>
      <c r="EU90" s="43"/>
      <c r="EV90" s="43"/>
      <c r="EW90" s="43"/>
      <c r="EX90" s="43"/>
      <c r="EY90" s="43"/>
      <c r="EZ90" s="43"/>
      <c r="FA90" s="43"/>
      <c r="FB90" s="43"/>
      <c r="FC90" s="43"/>
      <c r="FD90" s="43"/>
      <c r="FE90" s="43"/>
      <c r="FF90" s="43"/>
      <c r="FG90" s="43"/>
      <c r="FH90" s="43"/>
      <c r="FI90" s="43"/>
      <c r="FJ90" s="43"/>
      <c r="FK90" s="43"/>
      <c r="FL90" s="43"/>
      <c r="FM90" s="43"/>
      <c r="FN90" s="43"/>
      <c r="FO90" s="43"/>
      <c r="FP90" s="43"/>
      <c r="FQ90" s="43"/>
      <c r="FR90" s="43"/>
      <c r="FS90" s="43"/>
      <c r="FT90" s="43"/>
      <c r="FU90" s="43"/>
      <c r="FV90" s="43"/>
      <c r="FW90" s="43"/>
      <c r="FX90" s="43"/>
      <c r="FY90" s="43"/>
      <c r="FZ90" s="43"/>
      <c r="GA90" s="43"/>
      <c r="GB90" s="43"/>
      <c r="GC90" s="43"/>
      <c r="GD90" s="43"/>
      <c r="GE90" s="43"/>
      <c r="GF90" s="43"/>
      <c r="GG90" s="43"/>
      <c r="GH90" s="43"/>
      <c r="GI90" s="43"/>
      <c r="GJ90" s="43"/>
      <c r="GK90" s="43"/>
      <c r="GL90" s="43"/>
      <c r="GM90" s="43"/>
      <c r="GN90" s="43"/>
      <c r="GO90" s="43"/>
      <c r="GP90" s="43"/>
      <c r="GQ90" s="43"/>
      <c r="GR90" s="43"/>
      <c r="GS90" s="43"/>
      <c r="GT90" s="43"/>
      <c r="GU90" s="43"/>
      <c r="GV90" s="43"/>
      <c r="GW90" s="43"/>
      <c r="GX90" s="43"/>
      <c r="GY90" s="43"/>
      <c r="GZ90" s="43"/>
      <c r="HA90" s="43"/>
      <c r="HB90" s="43"/>
      <c r="HC90" s="43"/>
      <c r="HD90" s="43"/>
      <c r="HE90" s="43"/>
      <c r="HF90" s="43"/>
      <c r="HG90" s="43"/>
      <c r="HH90" s="43"/>
      <c r="HI90" s="43"/>
      <c r="HJ90" s="43"/>
      <c r="HK90" s="43"/>
      <c r="HL90" s="43"/>
      <c r="HM90" s="43"/>
      <c r="HN90" s="43"/>
      <c r="HO90" s="43"/>
      <c r="HP90" s="43"/>
      <c r="HQ90" s="43"/>
      <c r="HR90" s="43"/>
      <c r="HS90" s="43"/>
      <c r="HT90" s="43"/>
      <c r="HU90" s="43"/>
      <c r="HV90" s="43"/>
      <c r="HW90" s="43"/>
      <c r="HX90" s="43"/>
      <c r="HY90" s="43"/>
      <c r="HZ90" s="43"/>
      <c r="IA90" s="43"/>
      <c r="IB90" s="43"/>
    </row>
    <row r="91" spans="1:236" s="130" customFormat="1">
      <c r="A91" s="152"/>
      <c r="B91" s="152"/>
      <c r="C91" s="152"/>
      <c r="D91" s="152"/>
      <c r="E91" s="152"/>
      <c r="F91" s="152"/>
      <c r="G91" s="152"/>
      <c r="H91" s="152"/>
      <c r="I91" s="152"/>
      <c r="J91" s="157"/>
      <c r="K91" s="222"/>
      <c r="L91" s="222"/>
      <c r="M91" s="222"/>
      <c r="N91" s="222"/>
      <c r="O91" s="222"/>
      <c r="P91" s="222"/>
      <c r="Q91" s="222"/>
      <c r="R91" s="222"/>
      <c r="S91" s="222"/>
      <c r="T91" s="222"/>
      <c r="U91" s="222"/>
      <c r="V91" s="222"/>
      <c r="W91" s="222"/>
      <c r="X91" s="222"/>
      <c r="Y91" s="221"/>
      <c r="Z91" s="221"/>
      <c r="AA91" s="221"/>
      <c r="AB91" s="276"/>
      <c r="AC91" s="276"/>
      <c r="AD91" s="276"/>
      <c r="AE91" s="276"/>
      <c r="AF91" s="276"/>
      <c r="AG91" s="276"/>
      <c r="AH91" s="276"/>
      <c r="AI91" s="276"/>
      <c r="AJ91" s="276"/>
      <c r="AK91" s="276"/>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row>
    <row r="92" spans="1:236" s="130" customFormat="1">
      <c r="A92" s="152"/>
      <c r="B92" s="152"/>
      <c r="C92" s="152"/>
      <c r="D92" s="152"/>
      <c r="E92" s="152"/>
      <c r="F92" s="152"/>
      <c r="G92" s="152"/>
      <c r="H92" s="152"/>
      <c r="I92" s="152"/>
      <c r="J92" s="157"/>
      <c r="K92" s="222"/>
      <c r="L92" s="222"/>
      <c r="M92" s="222"/>
      <c r="N92" s="222"/>
      <c r="O92" s="222"/>
      <c r="P92" s="222"/>
      <c r="Q92" s="222"/>
      <c r="R92" s="222"/>
      <c r="S92" s="222"/>
      <c r="T92" s="222"/>
      <c r="U92" s="222"/>
      <c r="V92" s="222"/>
      <c r="W92" s="222"/>
      <c r="X92" s="222"/>
      <c r="Y92" s="221"/>
      <c r="Z92" s="221"/>
      <c r="AA92" s="221"/>
      <c r="AB92" s="276"/>
      <c r="AC92" s="276"/>
      <c r="AD92" s="276"/>
      <c r="AE92" s="276"/>
      <c r="AF92" s="276"/>
      <c r="AG92" s="276"/>
      <c r="AH92" s="276"/>
      <c r="AI92" s="276"/>
      <c r="AJ92" s="276"/>
      <c r="AK92" s="276"/>
      <c r="AL92" s="43"/>
      <c r="AM92" s="43"/>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43"/>
      <c r="BM92" s="43"/>
      <c r="BN92" s="43"/>
      <c r="BO92" s="43"/>
      <c r="BP92" s="43"/>
      <c r="BQ92" s="43"/>
      <c r="BR92" s="43"/>
      <c r="BS92" s="43"/>
      <c r="BT92" s="43"/>
      <c r="BU92" s="43"/>
      <c r="BV92" s="43"/>
      <c r="BW92" s="43"/>
      <c r="BX92" s="43"/>
      <c r="BY92" s="43"/>
      <c r="BZ92" s="43"/>
      <c r="CA92" s="43"/>
      <c r="CB92" s="43"/>
      <c r="CC92" s="43"/>
      <c r="CD92" s="43"/>
      <c r="CE92" s="43"/>
      <c r="CF92" s="43"/>
      <c r="CG92" s="43"/>
      <c r="CH92" s="43"/>
      <c r="CI92" s="43"/>
      <c r="CJ92" s="43"/>
      <c r="CK92" s="43"/>
      <c r="CL92" s="43"/>
      <c r="CM92" s="43"/>
      <c r="CN92" s="43"/>
      <c r="CO92" s="43"/>
      <c r="CP92" s="43"/>
      <c r="CQ92" s="43"/>
      <c r="CR92" s="43"/>
      <c r="CS92" s="43"/>
      <c r="CT92" s="43"/>
      <c r="CU92" s="43"/>
      <c r="CV92" s="43"/>
      <c r="CW92" s="43"/>
      <c r="CX92" s="43"/>
      <c r="CY92" s="43"/>
      <c r="CZ92" s="43"/>
      <c r="DA92" s="43"/>
      <c r="DB92" s="43"/>
      <c r="DC92" s="43"/>
      <c r="DD92" s="43"/>
      <c r="DE92" s="43"/>
      <c r="DF92" s="43"/>
      <c r="DG92" s="43"/>
      <c r="DH92" s="43"/>
      <c r="DI92" s="43"/>
      <c r="DJ92" s="43"/>
      <c r="DK92" s="43"/>
      <c r="DL92" s="43"/>
      <c r="DM92" s="43"/>
      <c r="DN92" s="43"/>
      <c r="DO92" s="43"/>
      <c r="DP92" s="43"/>
      <c r="DQ92" s="43"/>
      <c r="DR92" s="43"/>
      <c r="DS92" s="43"/>
      <c r="DT92" s="43"/>
      <c r="DU92" s="43"/>
      <c r="DV92" s="43"/>
      <c r="DW92" s="43"/>
      <c r="DX92" s="43"/>
      <c r="DY92" s="43"/>
      <c r="DZ92" s="43"/>
      <c r="EA92" s="43"/>
      <c r="EB92" s="43"/>
      <c r="EC92" s="43"/>
      <c r="ED92" s="43"/>
      <c r="EE92" s="43"/>
      <c r="EF92" s="43"/>
      <c r="EG92" s="43"/>
      <c r="EH92" s="43"/>
      <c r="EI92" s="43"/>
      <c r="EJ92" s="43"/>
      <c r="EK92" s="43"/>
      <c r="EL92" s="43"/>
      <c r="EM92" s="43"/>
      <c r="EN92" s="43"/>
      <c r="EO92" s="43"/>
      <c r="EP92" s="43"/>
      <c r="EQ92" s="43"/>
      <c r="ER92" s="43"/>
      <c r="ES92" s="43"/>
      <c r="ET92" s="43"/>
      <c r="EU92" s="43"/>
      <c r="EV92" s="43"/>
      <c r="EW92" s="43"/>
      <c r="EX92" s="43"/>
      <c r="EY92" s="43"/>
      <c r="EZ92" s="43"/>
      <c r="FA92" s="43"/>
      <c r="FB92" s="43"/>
      <c r="FC92" s="43"/>
      <c r="FD92" s="43"/>
      <c r="FE92" s="43"/>
      <c r="FF92" s="43"/>
      <c r="FG92" s="43"/>
      <c r="FH92" s="43"/>
      <c r="FI92" s="43"/>
      <c r="FJ92" s="43"/>
      <c r="FK92" s="43"/>
      <c r="FL92" s="43"/>
      <c r="FM92" s="43"/>
      <c r="FN92" s="43"/>
      <c r="FO92" s="43"/>
      <c r="FP92" s="43"/>
      <c r="FQ92" s="43"/>
      <c r="FR92" s="43"/>
      <c r="FS92" s="43"/>
      <c r="FT92" s="43"/>
      <c r="FU92" s="43"/>
      <c r="FV92" s="43"/>
      <c r="FW92" s="43"/>
      <c r="FX92" s="43"/>
      <c r="FY92" s="43"/>
      <c r="FZ92" s="43"/>
      <c r="GA92" s="43"/>
      <c r="GB92" s="43"/>
      <c r="GC92" s="43"/>
      <c r="GD92" s="43"/>
      <c r="GE92" s="43"/>
      <c r="GF92" s="43"/>
      <c r="GG92" s="43"/>
      <c r="GH92" s="43"/>
      <c r="GI92" s="43"/>
      <c r="GJ92" s="43"/>
      <c r="GK92" s="43"/>
      <c r="GL92" s="43"/>
      <c r="GM92" s="43"/>
      <c r="GN92" s="43"/>
      <c r="GO92" s="43"/>
      <c r="GP92" s="43"/>
      <c r="GQ92" s="43"/>
      <c r="GR92" s="43"/>
      <c r="GS92" s="43"/>
      <c r="GT92" s="43"/>
      <c r="GU92" s="43"/>
      <c r="GV92" s="43"/>
      <c r="GW92" s="43"/>
      <c r="GX92" s="43"/>
      <c r="GY92" s="43"/>
      <c r="GZ92" s="43"/>
      <c r="HA92" s="43"/>
      <c r="HB92" s="43"/>
      <c r="HC92" s="43"/>
      <c r="HD92" s="43"/>
      <c r="HE92" s="43"/>
      <c r="HF92" s="43"/>
      <c r="HG92" s="43"/>
      <c r="HH92" s="43"/>
      <c r="HI92" s="43"/>
      <c r="HJ92" s="43"/>
      <c r="HK92" s="43"/>
      <c r="HL92" s="43"/>
      <c r="HM92" s="43"/>
      <c r="HN92" s="43"/>
      <c r="HO92" s="43"/>
      <c r="HP92" s="43"/>
      <c r="HQ92" s="43"/>
      <c r="HR92" s="43"/>
      <c r="HS92" s="43"/>
      <c r="HT92" s="43"/>
      <c r="HU92" s="43"/>
      <c r="HV92" s="43"/>
      <c r="HW92" s="43"/>
      <c r="HX92" s="43"/>
      <c r="HY92" s="43"/>
      <c r="HZ92" s="43"/>
      <c r="IA92" s="43"/>
      <c r="IB92" s="43"/>
    </row>
    <row r="93" spans="1:236" s="130" customFormat="1">
      <c r="A93" s="152"/>
      <c r="B93" s="152"/>
      <c r="C93" s="152"/>
      <c r="D93" s="152"/>
      <c r="E93" s="152"/>
      <c r="F93" s="152"/>
      <c r="G93" s="152"/>
      <c r="H93" s="152"/>
      <c r="I93" s="152"/>
      <c r="J93" s="157"/>
      <c r="K93" s="222"/>
      <c r="L93" s="222"/>
      <c r="M93" s="222"/>
      <c r="N93" s="222"/>
      <c r="O93" s="222"/>
      <c r="P93" s="222"/>
      <c r="Q93" s="222"/>
      <c r="R93" s="222"/>
      <c r="S93" s="222"/>
      <c r="T93" s="222"/>
      <c r="U93" s="222"/>
      <c r="V93" s="222"/>
      <c r="W93" s="222"/>
      <c r="X93" s="222"/>
      <c r="Y93" s="221"/>
      <c r="Z93" s="221"/>
      <c r="AA93" s="221"/>
      <c r="AB93" s="276"/>
      <c r="AC93" s="276"/>
      <c r="AD93" s="276"/>
      <c r="AE93" s="276"/>
      <c r="AF93" s="276"/>
      <c r="AG93" s="276"/>
      <c r="AH93" s="276"/>
      <c r="AI93" s="276"/>
      <c r="AJ93" s="276"/>
      <c r="AK93" s="276"/>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c r="CB93" s="43"/>
      <c r="CC93" s="43"/>
      <c r="CD93" s="43"/>
      <c r="CE93" s="43"/>
      <c r="CF93" s="43"/>
      <c r="CG93" s="43"/>
      <c r="CH93" s="43"/>
      <c r="CI93" s="43"/>
      <c r="CJ93" s="43"/>
      <c r="CK93" s="43"/>
      <c r="CL93" s="43"/>
      <c r="CM93" s="43"/>
      <c r="CN93" s="43"/>
      <c r="CO93" s="43"/>
      <c r="CP93" s="43"/>
      <c r="CQ93" s="43"/>
      <c r="CR93" s="43"/>
      <c r="CS93" s="43"/>
      <c r="CT93" s="43"/>
      <c r="CU93" s="43"/>
      <c r="CV93" s="43"/>
      <c r="CW93" s="43"/>
      <c r="CX93" s="43"/>
      <c r="CY93" s="43"/>
      <c r="CZ93" s="43"/>
      <c r="DA93" s="43"/>
      <c r="DB93" s="43"/>
      <c r="DC93" s="43"/>
      <c r="DD93" s="43"/>
      <c r="DE93" s="43"/>
      <c r="DF93" s="43"/>
      <c r="DG93" s="43"/>
      <c r="DH93" s="43"/>
      <c r="DI93" s="43"/>
      <c r="DJ93" s="43"/>
      <c r="DK93" s="43"/>
      <c r="DL93" s="43"/>
      <c r="DM93" s="43"/>
      <c r="DN93" s="43"/>
      <c r="DO93" s="43"/>
      <c r="DP93" s="43"/>
      <c r="DQ93" s="43"/>
      <c r="DR93" s="43"/>
      <c r="DS93" s="43"/>
      <c r="DT93" s="43"/>
      <c r="DU93" s="43"/>
      <c r="DV93" s="43"/>
      <c r="DW93" s="43"/>
      <c r="DX93" s="43"/>
      <c r="DY93" s="43"/>
      <c r="DZ93" s="43"/>
      <c r="EA93" s="43"/>
      <c r="EB93" s="43"/>
      <c r="EC93" s="43"/>
      <c r="ED93" s="43"/>
      <c r="EE93" s="43"/>
      <c r="EF93" s="43"/>
      <c r="EG93" s="43"/>
      <c r="EH93" s="43"/>
      <c r="EI93" s="43"/>
      <c r="EJ93" s="43"/>
      <c r="EK93" s="43"/>
      <c r="EL93" s="43"/>
      <c r="EM93" s="43"/>
      <c r="EN93" s="43"/>
      <c r="EO93" s="43"/>
      <c r="EP93" s="43"/>
      <c r="EQ93" s="43"/>
      <c r="ER93" s="43"/>
      <c r="ES93" s="43"/>
      <c r="ET93" s="43"/>
      <c r="EU93" s="43"/>
      <c r="EV93" s="43"/>
      <c r="EW93" s="43"/>
      <c r="EX93" s="43"/>
      <c r="EY93" s="43"/>
      <c r="EZ93" s="43"/>
      <c r="FA93" s="43"/>
      <c r="FB93" s="43"/>
      <c r="FC93" s="43"/>
      <c r="FD93" s="43"/>
      <c r="FE93" s="43"/>
      <c r="FF93" s="43"/>
      <c r="FG93" s="43"/>
      <c r="FH93" s="43"/>
      <c r="FI93" s="43"/>
      <c r="FJ93" s="43"/>
      <c r="FK93" s="43"/>
      <c r="FL93" s="43"/>
      <c r="FM93" s="43"/>
      <c r="FN93" s="43"/>
      <c r="FO93" s="43"/>
      <c r="FP93" s="43"/>
      <c r="FQ93" s="43"/>
      <c r="FR93" s="43"/>
      <c r="FS93" s="43"/>
      <c r="FT93" s="43"/>
      <c r="FU93" s="43"/>
      <c r="FV93" s="43"/>
      <c r="FW93" s="43"/>
      <c r="FX93" s="43"/>
      <c r="FY93" s="43"/>
      <c r="FZ93" s="43"/>
      <c r="GA93" s="43"/>
      <c r="GB93" s="43"/>
      <c r="GC93" s="43"/>
      <c r="GD93" s="43"/>
      <c r="GE93" s="43"/>
      <c r="GF93" s="43"/>
      <c r="GG93" s="43"/>
      <c r="GH93" s="43"/>
      <c r="GI93" s="43"/>
      <c r="GJ93" s="43"/>
      <c r="GK93" s="43"/>
      <c r="GL93" s="43"/>
      <c r="GM93" s="43"/>
      <c r="GN93" s="43"/>
      <c r="GO93" s="43"/>
      <c r="GP93" s="43"/>
      <c r="GQ93" s="43"/>
      <c r="GR93" s="43"/>
      <c r="GS93" s="43"/>
      <c r="GT93" s="43"/>
      <c r="GU93" s="43"/>
      <c r="GV93" s="43"/>
      <c r="GW93" s="43"/>
      <c r="GX93" s="43"/>
      <c r="GY93" s="43"/>
      <c r="GZ93" s="43"/>
      <c r="HA93" s="43"/>
      <c r="HB93" s="43"/>
      <c r="HC93" s="43"/>
      <c r="HD93" s="43"/>
      <c r="HE93" s="43"/>
      <c r="HF93" s="43"/>
      <c r="HG93" s="43"/>
      <c r="HH93" s="43"/>
      <c r="HI93" s="43"/>
      <c r="HJ93" s="43"/>
      <c r="HK93" s="43"/>
      <c r="HL93" s="43"/>
      <c r="HM93" s="43"/>
      <c r="HN93" s="43"/>
      <c r="HO93" s="43"/>
      <c r="HP93" s="43"/>
      <c r="HQ93" s="43"/>
      <c r="HR93" s="43"/>
      <c r="HS93" s="43"/>
      <c r="HT93" s="43"/>
      <c r="HU93" s="43"/>
      <c r="HV93" s="43"/>
      <c r="HW93" s="43"/>
      <c r="HX93" s="43"/>
      <c r="HY93" s="43"/>
      <c r="HZ93" s="43"/>
      <c r="IA93" s="43"/>
      <c r="IB93" s="43"/>
    </row>
    <row r="94" spans="1:236" s="130" customFormat="1">
      <c r="A94" s="152"/>
      <c r="B94" s="152"/>
      <c r="C94" s="152"/>
      <c r="D94" s="152"/>
      <c r="E94" s="152"/>
      <c r="F94" s="152"/>
      <c r="G94" s="152"/>
      <c r="H94" s="152"/>
      <c r="I94" s="152"/>
      <c r="J94" s="157"/>
      <c r="K94" s="222"/>
      <c r="L94" s="222"/>
      <c r="M94" s="222"/>
      <c r="N94" s="222"/>
      <c r="O94" s="222"/>
      <c r="P94" s="222"/>
      <c r="Q94" s="222"/>
      <c r="R94" s="222"/>
      <c r="S94" s="222"/>
      <c r="T94" s="222"/>
      <c r="U94" s="222"/>
      <c r="V94" s="222"/>
      <c r="W94" s="222"/>
      <c r="X94" s="222"/>
      <c r="Y94" s="221"/>
      <c r="Z94" s="221"/>
      <c r="AA94" s="221"/>
      <c r="AB94" s="276"/>
      <c r="AC94" s="276"/>
      <c r="AD94" s="276"/>
      <c r="AE94" s="276"/>
      <c r="AF94" s="276"/>
      <c r="AG94" s="276"/>
      <c r="AH94" s="276"/>
      <c r="AI94" s="276"/>
      <c r="AJ94" s="276"/>
      <c r="AK94" s="276"/>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Y94" s="43"/>
      <c r="BZ94" s="43"/>
      <c r="CA94" s="43"/>
      <c r="CB94" s="43"/>
      <c r="CC94" s="43"/>
      <c r="CD94" s="43"/>
      <c r="CE94" s="43"/>
      <c r="CF94" s="43"/>
      <c r="CG94" s="43"/>
      <c r="CH94" s="43"/>
      <c r="CI94" s="43"/>
      <c r="CJ94" s="43"/>
      <c r="CK94" s="43"/>
      <c r="CL94" s="43"/>
      <c r="CM94" s="43"/>
      <c r="CN94" s="43"/>
      <c r="CO94" s="43"/>
      <c r="CP94" s="43"/>
      <c r="CQ94" s="43"/>
      <c r="CR94" s="43"/>
      <c r="CS94" s="43"/>
      <c r="CT94" s="43"/>
      <c r="CU94" s="43"/>
      <c r="CV94" s="43"/>
      <c r="CW94" s="43"/>
      <c r="CX94" s="43"/>
      <c r="CY94" s="43"/>
      <c r="CZ94" s="43"/>
      <c r="DA94" s="43"/>
      <c r="DB94" s="43"/>
      <c r="DC94" s="43"/>
      <c r="DD94" s="43"/>
      <c r="DE94" s="43"/>
      <c r="DF94" s="43"/>
      <c r="DG94" s="43"/>
      <c r="DH94" s="43"/>
      <c r="DI94" s="43"/>
      <c r="DJ94" s="43"/>
      <c r="DK94" s="43"/>
      <c r="DL94" s="43"/>
      <c r="DM94" s="43"/>
      <c r="DN94" s="43"/>
      <c r="DO94" s="43"/>
      <c r="DP94" s="43"/>
      <c r="DQ94" s="43"/>
      <c r="DR94" s="43"/>
      <c r="DS94" s="43"/>
      <c r="DT94" s="43"/>
      <c r="DU94" s="43"/>
      <c r="DV94" s="43"/>
      <c r="DW94" s="43"/>
      <c r="DX94" s="43"/>
      <c r="DY94" s="43"/>
      <c r="DZ94" s="43"/>
      <c r="EA94" s="43"/>
      <c r="EB94" s="43"/>
      <c r="EC94" s="43"/>
      <c r="ED94" s="43"/>
      <c r="EE94" s="43"/>
      <c r="EF94" s="43"/>
      <c r="EG94" s="43"/>
      <c r="EH94" s="43"/>
      <c r="EI94" s="43"/>
      <c r="EJ94" s="43"/>
      <c r="EK94" s="43"/>
      <c r="EL94" s="43"/>
      <c r="EM94" s="43"/>
      <c r="EN94" s="43"/>
      <c r="EO94" s="43"/>
      <c r="EP94" s="43"/>
      <c r="EQ94" s="43"/>
      <c r="ER94" s="43"/>
      <c r="ES94" s="43"/>
      <c r="ET94" s="43"/>
      <c r="EU94" s="43"/>
      <c r="EV94" s="43"/>
      <c r="EW94" s="43"/>
      <c r="EX94" s="43"/>
      <c r="EY94" s="43"/>
      <c r="EZ94" s="43"/>
      <c r="FA94" s="43"/>
      <c r="FB94" s="43"/>
      <c r="FC94" s="43"/>
      <c r="FD94" s="43"/>
      <c r="FE94" s="43"/>
      <c r="FF94" s="43"/>
      <c r="FG94" s="43"/>
      <c r="FH94" s="43"/>
      <c r="FI94" s="43"/>
      <c r="FJ94" s="43"/>
      <c r="FK94" s="43"/>
      <c r="FL94" s="43"/>
      <c r="FM94" s="43"/>
      <c r="FN94" s="43"/>
      <c r="FO94" s="43"/>
      <c r="FP94" s="43"/>
      <c r="FQ94" s="43"/>
      <c r="FR94" s="43"/>
      <c r="FS94" s="43"/>
      <c r="FT94" s="43"/>
      <c r="FU94" s="43"/>
      <c r="FV94" s="43"/>
      <c r="FW94" s="43"/>
      <c r="FX94" s="43"/>
      <c r="FY94" s="43"/>
      <c r="FZ94" s="43"/>
      <c r="GA94" s="43"/>
      <c r="GB94" s="43"/>
      <c r="GC94" s="43"/>
      <c r="GD94" s="43"/>
      <c r="GE94" s="43"/>
      <c r="GF94" s="43"/>
      <c r="GG94" s="43"/>
      <c r="GH94" s="43"/>
      <c r="GI94" s="43"/>
      <c r="GJ94" s="43"/>
      <c r="GK94" s="43"/>
      <c r="GL94" s="43"/>
      <c r="GM94" s="43"/>
      <c r="GN94" s="43"/>
      <c r="GO94" s="43"/>
      <c r="GP94" s="43"/>
      <c r="GQ94" s="43"/>
      <c r="GR94" s="43"/>
      <c r="GS94" s="43"/>
      <c r="GT94" s="43"/>
      <c r="GU94" s="43"/>
      <c r="GV94" s="43"/>
      <c r="GW94" s="43"/>
      <c r="GX94" s="43"/>
      <c r="GY94" s="43"/>
      <c r="GZ94" s="43"/>
      <c r="HA94" s="43"/>
      <c r="HB94" s="43"/>
      <c r="HC94" s="43"/>
      <c r="HD94" s="43"/>
      <c r="HE94" s="43"/>
      <c r="HF94" s="43"/>
      <c r="HG94" s="43"/>
      <c r="HH94" s="43"/>
      <c r="HI94" s="43"/>
      <c r="HJ94" s="43"/>
      <c r="HK94" s="43"/>
      <c r="HL94" s="43"/>
      <c r="HM94" s="43"/>
      <c r="HN94" s="43"/>
      <c r="HO94" s="43"/>
      <c r="HP94" s="43"/>
      <c r="HQ94" s="43"/>
      <c r="HR94" s="43"/>
      <c r="HS94" s="43"/>
      <c r="HT94" s="43"/>
      <c r="HU94" s="43"/>
      <c r="HV94" s="43"/>
      <c r="HW94" s="43"/>
      <c r="HX94" s="43"/>
      <c r="HY94" s="43"/>
      <c r="HZ94" s="43"/>
      <c r="IA94" s="43"/>
      <c r="IB94" s="43"/>
    </row>
    <row r="95" spans="1:236" s="130" customFormat="1">
      <c r="A95" s="152"/>
      <c r="B95" s="152"/>
      <c r="C95" s="152"/>
      <c r="D95" s="152"/>
      <c r="E95" s="152"/>
      <c r="F95" s="152"/>
      <c r="G95" s="152"/>
      <c r="H95" s="152"/>
      <c r="I95" s="152"/>
      <c r="J95" s="157"/>
      <c r="K95" s="222"/>
      <c r="L95" s="222"/>
      <c r="M95" s="222"/>
      <c r="N95" s="222"/>
      <c r="O95" s="222"/>
      <c r="P95" s="222"/>
      <c r="Q95" s="222"/>
      <c r="R95" s="222"/>
      <c r="S95" s="222"/>
      <c r="T95" s="222"/>
      <c r="U95" s="222"/>
      <c r="V95" s="222"/>
      <c r="W95" s="222"/>
      <c r="X95" s="222"/>
      <c r="Y95" s="221"/>
      <c r="Z95" s="221"/>
      <c r="AA95" s="221"/>
      <c r="AB95" s="276"/>
      <c r="AC95" s="276"/>
      <c r="AD95" s="276"/>
      <c r="AE95" s="276"/>
      <c r="AF95" s="276"/>
      <c r="AG95" s="276"/>
      <c r="AH95" s="276"/>
      <c r="AI95" s="276"/>
      <c r="AJ95" s="276"/>
      <c r="AK95" s="276"/>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c r="BX95" s="43"/>
      <c r="BY95" s="43"/>
      <c r="BZ95" s="43"/>
      <c r="CA95" s="43"/>
      <c r="CB95" s="43"/>
      <c r="CC95" s="43"/>
      <c r="CD95" s="43"/>
      <c r="CE95" s="43"/>
      <c r="CF95" s="43"/>
      <c r="CG95" s="43"/>
      <c r="CH95" s="43"/>
      <c r="CI95" s="43"/>
      <c r="CJ95" s="43"/>
      <c r="CK95" s="43"/>
      <c r="CL95" s="43"/>
      <c r="CM95" s="43"/>
      <c r="CN95" s="43"/>
      <c r="CO95" s="43"/>
      <c r="CP95" s="43"/>
      <c r="CQ95" s="43"/>
      <c r="CR95" s="43"/>
      <c r="CS95" s="43"/>
      <c r="CT95" s="43"/>
      <c r="CU95" s="43"/>
      <c r="CV95" s="43"/>
      <c r="CW95" s="43"/>
      <c r="CX95" s="43"/>
      <c r="CY95" s="43"/>
      <c r="CZ95" s="43"/>
      <c r="DA95" s="43"/>
      <c r="DB95" s="43"/>
      <c r="DC95" s="43"/>
      <c r="DD95" s="43"/>
      <c r="DE95" s="43"/>
      <c r="DF95" s="43"/>
      <c r="DG95" s="43"/>
      <c r="DH95" s="43"/>
      <c r="DI95" s="43"/>
      <c r="DJ95" s="43"/>
      <c r="DK95" s="43"/>
      <c r="DL95" s="43"/>
      <c r="DM95" s="43"/>
      <c r="DN95" s="43"/>
      <c r="DO95" s="43"/>
      <c r="DP95" s="43"/>
      <c r="DQ95" s="43"/>
      <c r="DR95" s="43"/>
      <c r="DS95" s="43"/>
      <c r="DT95" s="43"/>
      <c r="DU95" s="43"/>
      <c r="DV95" s="43"/>
      <c r="DW95" s="43"/>
      <c r="DX95" s="43"/>
      <c r="DY95" s="43"/>
      <c r="DZ95" s="43"/>
      <c r="EA95" s="43"/>
      <c r="EB95" s="43"/>
      <c r="EC95" s="43"/>
      <c r="ED95" s="43"/>
      <c r="EE95" s="43"/>
      <c r="EF95" s="43"/>
      <c r="EG95" s="43"/>
      <c r="EH95" s="43"/>
      <c r="EI95" s="43"/>
      <c r="EJ95" s="43"/>
      <c r="EK95" s="43"/>
      <c r="EL95" s="43"/>
      <c r="EM95" s="43"/>
      <c r="EN95" s="43"/>
      <c r="EO95" s="43"/>
      <c r="EP95" s="43"/>
      <c r="EQ95" s="43"/>
      <c r="ER95" s="43"/>
      <c r="ES95" s="43"/>
      <c r="ET95" s="43"/>
      <c r="EU95" s="43"/>
      <c r="EV95" s="43"/>
      <c r="EW95" s="43"/>
      <c r="EX95" s="43"/>
      <c r="EY95" s="43"/>
      <c r="EZ95" s="43"/>
      <c r="FA95" s="43"/>
      <c r="FB95" s="43"/>
      <c r="FC95" s="43"/>
      <c r="FD95" s="43"/>
      <c r="FE95" s="43"/>
      <c r="FF95" s="43"/>
      <c r="FG95" s="43"/>
      <c r="FH95" s="43"/>
      <c r="FI95" s="43"/>
      <c r="FJ95" s="43"/>
      <c r="FK95" s="43"/>
      <c r="FL95" s="43"/>
      <c r="FM95" s="43"/>
      <c r="FN95" s="43"/>
      <c r="FO95" s="43"/>
      <c r="FP95" s="43"/>
      <c r="FQ95" s="43"/>
      <c r="FR95" s="43"/>
      <c r="FS95" s="43"/>
      <c r="FT95" s="43"/>
      <c r="FU95" s="43"/>
      <c r="FV95" s="43"/>
      <c r="FW95" s="43"/>
      <c r="FX95" s="43"/>
      <c r="FY95" s="43"/>
      <c r="FZ95" s="43"/>
      <c r="GA95" s="43"/>
      <c r="GB95" s="43"/>
      <c r="GC95" s="43"/>
      <c r="GD95" s="43"/>
      <c r="GE95" s="43"/>
      <c r="GF95" s="43"/>
      <c r="GG95" s="43"/>
      <c r="GH95" s="43"/>
      <c r="GI95" s="43"/>
      <c r="GJ95" s="43"/>
      <c r="GK95" s="43"/>
      <c r="GL95" s="43"/>
      <c r="GM95" s="43"/>
      <c r="GN95" s="43"/>
      <c r="GO95" s="43"/>
      <c r="GP95" s="43"/>
      <c r="GQ95" s="43"/>
      <c r="GR95" s="43"/>
      <c r="GS95" s="43"/>
      <c r="GT95" s="43"/>
      <c r="GU95" s="43"/>
      <c r="GV95" s="43"/>
      <c r="GW95" s="43"/>
      <c r="GX95" s="43"/>
      <c r="GY95" s="43"/>
      <c r="GZ95" s="43"/>
      <c r="HA95" s="43"/>
      <c r="HB95" s="43"/>
      <c r="HC95" s="43"/>
      <c r="HD95" s="43"/>
      <c r="HE95" s="43"/>
      <c r="HF95" s="43"/>
      <c r="HG95" s="43"/>
      <c r="HH95" s="43"/>
      <c r="HI95" s="43"/>
      <c r="HJ95" s="43"/>
      <c r="HK95" s="43"/>
      <c r="HL95" s="43"/>
      <c r="HM95" s="43"/>
      <c r="HN95" s="43"/>
      <c r="HO95" s="43"/>
      <c r="HP95" s="43"/>
      <c r="HQ95" s="43"/>
      <c r="HR95" s="43"/>
      <c r="HS95" s="43"/>
      <c r="HT95" s="43"/>
      <c r="HU95" s="43"/>
      <c r="HV95" s="43"/>
      <c r="HW95" s="43"/>
      <c r="HX95" s="43"/>
      <c r="HY95" s="43"/>
      <c r="HZ95" s="43"/>
      <c r="IA95" s="43"/>
      <c r="IB95" s="43"/>
    </row>
    <row r="96" spans="1:236" s="130" customFormat="1">
      <c r="A96" s="152"/>
      <c r="B96" s="152"/>
      <c r="C96" s="152"/>
      <c r="D96" s="152"/>
      <c r="E96" s="152"/>
      <c r="F96" s="152"/>
      <c r="G96" s="152"/>
      <c r="H96" s="152"/>
      <c r="I96" s="152"/>
      <c r="J96" s="157"/>
      <c r="K96" s="222"/>
      <c r="L96" s="222"/>
      <c r="M96" s="222"/>
      <c r="N96" s="222"/>
      <c r="O96" s="222"/>
      <c r="P96" s="222"/>
      <c r="Q96" s="222"/>
      <c r="R96" s="222"/>
      <c r="S96" s="222"/>
      <c r="T96" s="222"/>
      <c r="U96" s="222"/>
      <c r="V96" s="222"/>
      <c r="W96" s="222"/>
      <c r="X96" s="222"/>
      <c r="Y96" s="221"/>
      <c r="Z96" s="221"/>
      <c r="AA96" s="221"/>
      <c r="AB96" s="276"/>
      <c r="AC96" s="276"/>
      <c r="AD96" s="276"/>
      <c r="AE96" s="276"/>
      <c r="AF96" s="276"/>
      <c r="AG96" s="276"/>
      <c r="AH96" s="276"/>
      <c r="AI96" s="276"/>
      <c r="AJ96" s="276"/>
      <c r="AK96" s="276"/>
      <c r="AL96" s="43"/>
      <c r="AM96" s="43"/>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c r="BM96" s="43"/>
      <c r="BN96" s="43"/>
      <c r="BO96" s="43"/>
      <c r="BP96" s="43"/>
      <c r="BQ96" s="43"/>
      <c r="BR96" s="43"/>
      <c r="BS96" s="43"/>
      <c r="BT96" s="43"/>
      <c r="BU96" s="43"/>
      <c r="BV96" s="43"/>
      <c r="BW96" s="43"/>
      <c r="BX96" s="43"/>
      <c r="BY96" s="43"/>
      <c r="BZ96" s="43"/>
      <c r="CA96" s="43"/>
      <c r="CB96" s="43"/>
      <c r="CC96" s="43"/>
      <c r="CD96" s="43"/>
      <c r="CE96" s="43"/>
      <c r="CF96" s="43"/>
      <c r="CG96" s="43"/>
      <c r="CH96" s="43"/>
      <c r="CI96" s="43"/>
      <c r="CJ96" s="43"/>
      <c r="CK96" s="43"/>
      <c r="CL96" s="43"/>
      <c r="CM96" s="43"/>
      <c r="CN96" s="43"/>
      <c r="CO96" s="43"/>
      <c r="CP96" s="43"/>
      <c r="CQ96" s="43"/>
      <c r="CR96" s="43"/>
      <c r="CS96" s="43"/>
      <c r="CT96" s="43"/>
      <c r="CU96" s="43"/>
      <c r="CV96" s="43"/>
      <c r="CW96" s="43"/>
      <c r="CX96" s="43"/>
      <c r="CY96" s="43"/>
      <c r="CZ96" s="43"/>
      <c r="DA96" s="43"/>
      <c r="DB96" s="43"/>
      <c r="DC96" s="43"/>
      <c r="DD96" s="43"/>
      <c r="DE96" s="43"/>
      <c r="DF96" s="43"/>
      <c r="DG96" s="43"/>
      <c r="DH96" s="43"/>
      <c r="DI96" s="43"/>
      <c r="DJ96" s="43"/>
      <c r="DK96" s="43"/>
      <c r="DL96" s="43"/>
      <c r="DM96" s="43"/>
      <c r="DN96" s="43"/>
      <c r="DO96" s="43"/>
      <c r="DP96" s="43"/>
      <c r="DQ96" s="43"/>
      <c r="DR96" s="43"/>
      <c r="DS96" s="43"/>
      <c r="DT96" s="43"/>
      <c r="DU96" s="43"/>
      <c r="DV96" s="43"/>
      <c r="DW96" s="43"/>
      <c r="DX96" s="43"/>
      <c r="DY96" s="43"/>
      <c r="DZ96" s="43"/>
      <c r="EA96" s="43"/>
      <c r="EB96" s="43"/>
      <c r="EC96" s="43"/>
      <c r="ED96" s="43"/>
      <c r="EE96" s="43"/>
      <c r="EF96" s="43"/>
      <c r="EG96" s="43"/>
      <c r="EH96" s="43"/>
      <c r="EI96" s="43"/>
      <c r="EJ96" s="43"/>
      <c r="EK96" s="43"/>
      <c r="EL96" s="43"/>
      <c r="EM96" s="43"/>
      <c r="EN96" s="43"/>
      <c r="EO96" s="43"/>
      <c r="EP96" s="43"/>
      <c r="EQ96" s="43"/>
      <c r="ER96" s="43"/>
      <c r="ES96" s="43"/>
      <c r="ET96" s="43"/>
      <c r="EU96" s="43"/>
      <c r="EV96" s="43"/>
      <c r="EW96" s="43"/>
      <c r="EX96" s="43"/>
      <c r="EY96" s="43"/>
      <c r="EZ96" s="43"/>
      <c r="FA96" s="43"/>
      <c r="FB96" s="43"/>
      <c r="FC96" s="43"/>
      <c r="FD96" s="43"/>
      <c r="FE96" s="43"/>
      <c r="FF96" s="43"/>
      <c r="FG96" s="43"/>
      <c r="FH96" s="43"/>
      <c r="FI96" s="43"/>
      <c r="FJ96" s="43"/>
      <c r="FK96" s="43"/>
      <c r="FL96" s="43"/>
      <c r="FM96" s="43"/>
      <c r="FN96" s="43"/>
      <c r="FO96" s="43"/>
      <c r="FP96" s="43"/>
      <c r="FQ96" s="43"/>
      <c r="FR96" s="43"/>
      <c r="FS96" s="43"/>
      <c r="FT96" s="43"/>
      <c r="FU96" s="43"/>
      <c r="FV96" s="43"/>
      <c r="FW96" s="43"/>
      <c r="FX96" s="43"/>
      <c r="FY96" s="43"/>
      <c r="FZ96" s="43"/>
      <c r="GA96" s="43"/>
      <c r="GB96" s="43"/>
      <c r="GC96" s="43"/>
      <c r="GD96" s="43"/>
      <c r="GE96" s="43"/>
      <c r="GF96" s="43"/>
      <c r="GG96" s="43"/>
      <c r="GH96" s="43"/>
      <c r="GI96" s="43"/>
      <c r="GJ96" s="43"/>
      <c r="GK96" s="43"/>
      <c r="GL96" s="43"/>
      <c r="GM96" s="43"/>
      <c r="GN96" s="43"/>
      <c r="GO96" s="43"/>
      <c r="GP96" s="43"/>
      <c r="GQ96" s="43"/>
      <c r="GR96" s="43"/>
      <c r="GS96" s="43"/>
      <c r="GT96" s="43"/>
      <c r="GU96" s="43"/>
      <c r="GV96" s="43"/>
      <c r="GW96" s="43"/>
      <c r="GX96" s="43"/>
      <c r="GY96" s="43"/>
      <c r="GZ96" s="43"/>
      <c r="HA96" s="43"/>
      <c r="HB96" s="43"/>
      <c r="HC96" s="43"/>
      <c r="HD96" s="43"/>
      <c r="HE96" s="43"/>
      <c r="HF96" s="43"/>
      <c r="HG96" s="43"/>
      <c r="HH96" s="43"/>
      <c r="HI96" s="43"/>
      <c r="HJ96" s="43"/>
      <c r="HK96" s="43"/>
      <c r="HL96" s="43"/>
      <c r="HM96" s="43"/>
      <c r="HN96" s="43"/>
      <c r="HO96" s="43"/>
      <c r="HP96" s="43"/>
      <c r="HQ96" s="43"/>
      <c r="HR96" s="43"/>
      <c r="HS96" s="43"/>
      <c r="HT96" s="43"/>
      <c r="HU96" s="43"/>
      <c r="HV96" s="43"/>
      <c r="HW96" s="43"/>
      <c r="HX96" s="43"/>
      <c r="HY96" s="43"/>
      <c r="HZ96" s="43"/>
      <c r="IA96" s="43"/>
      <c r="IB96" s="43"/>
    </row>
    <row r="97" spans="1:236" s="130" customFormat="1">
      <c r="A97" s="152"/>
      <c r="B97" s="152"/>
      <c r="C97" s="152"/>
      <c r="D97" s="152"/>
      <c r="E97" s="152"/>
      <c r="F97" s="152"/>
      <c r="G97" s="152"/>
      <c r="H97" s="152"/>
      <c r="I97" s="152"/>
      <c r="J97" s="157"/>
      <c r="K97" s="222"/>
      <c r="L97" s="222"/>
      <c r="M97" s="222"/>
      <c r="N97" s="222"/>
      <c r="O97" s="222"/>
      <c r="P97" s="222"/>
      <c r="Q97" s="222"/>
      <c r="R97" s="222"/>
      <c r="S97" s="222"/>
      <c r="T97" s="222"/>
      <c r="U97" s="222"/>
      <c r="V97" s="222"/>
      <c r="W97" s="222"/>
      <c r="X97" s="222"/>
      <c r="Y97" s="221"/>
      <c r="Z97" s="221"/>
      <c r="AA97" s="221"/>
      <c r="AB97" s="276"/>
      <c r="AC97" s="276"/>
      <c r="AD97" s="276"/>
      <c r="AE97" s="276"/>
      <c r="AF97" s="276"/>
      <c r="AG97" s="276"/>
      <c r="AH97" s="276"/>
      <c r="AI97" s="276"/>
      <c r="AJ97" s="276"/>
      <c r="AK97" s="276"/>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43"/>
      <c r="CH97" s="43"/>
      <c r="CI97" s="43"/>
      <c r="CJ97" s="43"/>
      <c r="CK97" s="43"/>
      <c r="CL97" s="43"/>
      <c r="CM97" s="43"/>
      <c r="CN97" s="43"/>
      <c r="CO97" s="43"/>
      <c r="CP97" s="43"/>
      <c r="CQ97" s="43"/>
      <c r="CR97" s="43"/>
      <c r="CS97" s="43"/>
      <c r="CT97" s="43"/>
      <c r="CU97" s="43"/>
      <c r="CV97" s="43"/>
      <c r="CW97" s="43"/>
      <c r="CX97" s="43"/>
      <c r="CY97" s="43"/>
      <c r="CZ97" s="43"/>
      <c r="DA97" s="43"/>
      <c r="DB97" s="43"/>
      <c r="DC97" s="43"/>
      <c r="DD97" s="43"/>
      <c r="DE97" s="43"/>
      <c r="DF97" s="43"/>
      <c r="DG97" s="43"/>
      <c r="DH97" s="43"/>
      <c r="DI97" s="43"/>
      <c r="DJ97" s="43"/>
      <c r="DK97" s="43"/>
      <c r="DL97" s="43"/>
      <c r="DM97" s="43"/>
      <c r="DN97" s="43"/>
      <c r="DO97" s="43"/>
      <c r="DP97" s="43"/>
      <c r="DQ97" s="43"/>
      <c r="DR97" s="43"/>
      <c r="DS97" s="43"/>
      <c r="DT97" s="43"/>
      <c r="DU97" s="43"/>
      <c r="DV97" s="43"/>
      <c r="DW97" s="43"/>
      <c r="DX97" s="43"/>
      <c r="DY97" s="43"/>
      <c r="DZ97" s="43"/>
      <c r="EA97" s="43"/>
      <c r="EB97" s="43"/>
      <c r="EC97" s="43"/>
      <c r="ED97" s="43"/>
      <c r="EE97" s="43"/>
      <c r="EF97" s="43"/>
      <c r="EG97" s="43"/>
      <c r="EH97" s="43"/>
      <c r="EI97" s="43"/>
      <c r="EJ97" s="43"/>
      <c r="EK97" s="43"/>
      <c r="EL97" s="43"/>
      <c r="EM97" s="43"/>
      <c r="EN97" s="43"/>
      <c r="EO97" s="43"/>
      <c r="EP97" s="43"/>
      <c r="EQ97" s="43"/>
      <c r="ER97" s="43"/>
      <c r="ES97" s="43"/>
      <c r="ET97" s="43"/>
      <c r="EU97" s="43"/>
      <c r="EV97" s="43"/>
      <c r="EW97" s="43"/>
      <c r="EX97" s="43"/>
      <c r="EY97" s="43"/>
      <c r="EZ97" s="43"/>
      <c r="FA97" s="43"/>
      <c r="FB97" s="43"/>
      <c r="FC97" s="43"/>
      <c r="FD97" s="43"/>
      <c r="FE97" s="43"/>
      <c r="FF97" s="43"/>
      <c r="FG97" s="43"/>
      <c r="FH97" s="43"/>
      <c r="FI97" s="43"/>
      <c r="FJ97" s="43"/>
      <c r="FK97" s="43"/>
      <c r="FL97" s="43"/>
      <c r="FM97" s="43"/>
      <c r="FN97" s="43"/>
      <c r="FO97" s="43"/>
      <c r="FP97" s="43"/>
      <c r="FQ97" s="43"/>
      <c r="FR97" s="43"/>
      <c r="FS97" s="43"/>
      <c r="FT97" s="43"/>
      <c r="FU97" s="43"/>
      <c r="FV97" s="43"/>
      <c r="FW97" s="43"/>
      <c r="FX97" s="43"/>
      <c r="FY97" s="43"/>
      <c r="FZ97" s="43"/>
      <c r="GA97" s="43"/>
      <c r="GB97" s="43"/>
      <c r="GC97" s="43"/>
      <c r="GD97" s="43"/>
      <c r="GE97" s="43"/>
      <c r="GF97" s="43"/>
      <c r="GG97" s="43"/>
      <c r="GH97" s="43"/>
      <c r="GI97" s="43"/>
      <c r="GJ97" s="43"/>
      <c r="GK97" s="43"/>
      <c r="GL97" s="43"/>
      <c r="GM97" s="43"/>
      <c r="GN97" s="43"/>
      <c r="GO97" s="43"/>
      <c r="GP97" s="43"/>
      <c r="GQ97" s="43"/>
      <c r="GR97" s="43"/>
      <c r="GS97" s="43"/>
      <c r="GT97" s="43"/>
      <c r="GU97" s="43"/>
      <c r="GV97" s="43"/>
      <c r="GW97" s="43"/>
      <c r="GX97" s="43"/>
      <c r="GY97" s="43"/>
      <c r="GZ97" s="43"/>
      <c r="HA97" s="43"/>
      <c r="HB97" s="43"/>
      <c r="HC97" s="43"/>
      <c r="HD97" s="43"/>
      <c r="HE97" s="43"/>
      <c r="HF97" s="43"/>
      <c r="HG97" s="43"/>
      <c r="HH97" s="43"/>
      <c r="HI97" s="43"/>
      <c r="HJ97" s="43"/>
      <c r="HK97" s="43"/>
      <c r="HL97" s="43"/>
      <c r="HM97" s="43"/>
      <c r="HN97" s="43"/>
      <c r="HO97" s="43"/>
      <c r="HP97" s="43"/>
      <c r="HQ97" s="43"/>
      <c r="HR97" s="43"/>
      <c r="HS97" s="43"/>
      <c r="HT97" s="43"/>
      <c r="HU97" s="43"/>
      <c r="HV97" s="43"/>
      <c r="HW97" s="43"/>
      <c r="HX97" s="43"/>
      <c r="HY97" s="43"/>
      <c r="HZ97" s="43"/>
      <c r="IA97" s="43"/>
      <c r="IB97" s="43"/>
    </row>
    <row r="98" spans="1:236" s="130" customFormat="1">
      <c r="A98" s="152"/>
      <c r="B98" s="152"/>
      <c r="C98" s="152"/>
      <c r="D98" s="152"/>
      <c r="E98" s="152"/>
      <c r="F98" s="152"/>
      <c r="G98" s="152"/>
      <c r="H98" s="152"/>
      <c r="I98" s="152"/>
      <c r="J98" s="157"/>
      <c r="K98" s="222"/>
      <c r="L98" s="222"/>
      <c r="M98" s="222"/>
      <c r="N98" s="222"/>
      <c r="O98" s="222"/>
      <c r="P98" s="222"/>
      <c r="Q98" s="222"/>
      <c r="R98" s="222"/>
      <c r="S98" s="222"/>
      <c r="T98" s="222"/>
      <c r="U98" s="222"/>
      <c r="V98" s="222"/>
      <c r="W98" s="222"/>
      <c r="X98" s="222"/>
      <c r="Y98" s="221"/>
      <c r="Z98" s="221"/>
      <c r="AA98" s="221"/>
      <c r="AB98" s="276"/>
      <c r="AC98" s="276"/>
      <c r="AD98" s="276"/>
      <c r="AE98" s="276"/>
      <c r="AF98" s="276"/>
      <c r="AG98" s="276"/>
      <c r="AH98" s="276"/>
      <c r="AI98" s="276"/>
      <c r="AJ98" s="276"/>
      <c r="AK98" s="276"/>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c r="CB98" s="43"/>
      <c r="CC98" s="43"/>
      <c r="CD98" s="43"/>
      <c r="CE98" s="43"/>
      <c r="CF98" s="43"/>
      <c r="CG98" s="43"/>
      <c r="CH98" s="43"/>
      <c r="CI98" s="43"/>
      <c r="CJ98" s="43"/>
      <c r="CK98" s="43"/>
      <c r="CL98" s="43"/>
      <c r="CM98" s="43"/>
      <c r="CN98" s="43"/>
      <c r="CO98" s="43"/>
      <c r="CP98" s="43"/>
      <c r="CQ98" s="43"/>
      <c r="CR98" s="43"/>
      <c r="CS98" s="43"/>
      <c r="CT98" s="43"/>
      <c r="CU98" s="43"/>
      <c r="CV98" s="43"/>
      <c r="CW98" s="43"/>
      <c r="CX98" s="43"/>
      <c r="CY98" s="43"/>
      <c r="CZ98" s="43"/>
      <c r="DA98" s="43"/>
      <c r="DB98" s="43"/>
      <c r="DC98" s="43"/>
      <c r="DD98" s="43"/>
      <c r="DE98" s="43"/>
      <c r="DF98" s="43"/>
      <c r="DG98" s="43"/>
      <c r="DH98" s="43"/>
      <c r="DI98" s="43"/>
      <c r="DJ98" s="43"/>
      <c r="DK98" s="43"/>
      <c r="DL98" s="43"/>
      <c r="DM98" s="43"/>
      <c r="DN98" s="43"/>
      <c r="DO98" s="43"/>
      <c r="DP98" s="43"/>
      <c r="DQ98" s="43"/>
      <c r="DR98" s="43"/>
      <c r="DS98" s="43"/>
      <c r="DT98" s="43"/>
      <c r="DU98" s="43"/>
      <c r="DV98" s="43"/>
      <c r="DW98" s="43"/>
      <c r="DX98" s="43"/>
      <c r="DY98" s="43"/>
      <c r="DZ98" s="43"/>
      <c r="EA98" s="43"/>
      <c r="EB98" s="43"/>
      <c r="EC98" s="43"/>
      <c r="ED98" s="43"/>
      <c r="EE98" s="43"/>
      <c r="EF98" s="43"/>
      <c r="EG98" s="43"/>
      <c r="EH98" s="43"/>
      <c r="EI98" s="43"/>
      <c r="EJ98" s="43"/>
      <c r="EK98" s="43"/>
      <c r="EL98" s="43"/>
      <c r="EM98" s="43"/>
      <c r="EN98" s="43"/>
      <c r="EO98" s="43"/>
      <c r="EP98" s="43"/>
      <c r="EQ98" s="43"/>
      <c r="ER98" s="43"/>
      <c r="ES98" s="43"/>
      <c r="ET98" s="43"/>
      <c r="EU98" s="43"/>
      <c r="EV98" s="43"/>
      <c r="EW98" s="43"/>
      <c r="EX98" s="43"/>
      <c r="EY98" s="43"/>
      <c r="EZ98" s="43"/>
      <c r="FA98" s="43"/>
      <c r="FB98" s="43"/>
      <c r="FC98" s="43"/>
      <c r="FD98" s="43"/>
      <c r="FE98" s="43"/>
      <c r="FF98" s="43"/>
      <c r="FG98" s="43"/>
      <c r="FH98" s="43"/>
      <c r="FI98" s="43"/>
      <c r="FJ98" s="43"/>
      <c r="FK98" s="43"/>
      <c r="FL98" s="43"/>
      <c r="FM98" s="43"/>
      <c r="FN98" s="43"/>
      <c r="FO98" s="43"/>
      <c r="FP98" s="43"/>
      <c r="FQ98" s="43"/>
      <c r="FR98" s="43"/>
      <c r="FS98" s="43"/>
      <c r="FT98" s="43"/>
      <c r="FU98" s="43"/>
      <c r="FV98" s="43"/>
      <c r="FW98" s="43"/>
      <c r="FX98" s="43"/>
      <c r="FY98" s="43"/>
      <c r="FZ98" s="43"/>
      <c r="GA98" s="43"/>
      <c r="GB98" s="43"/>
      <c r="GC98" s="43"/>
      <c r="GD98" s="43"/>
      <c r="GE98" s="43"/>
      <c r="GF98" s="43"/>
      <c r="GG98" s="43"/>
      <c r="GH98" s="43"/>
      <c r="GI98" s="43"/>
      <c r="GJ98" s="43"/>
      <c r="GK98" s="43"/>
      <c r="GL98" s="43"/>
      <c r="GM98" s="43"/>
      <c r="GN98" s="43"/>
      <c r="GO98" s="43"/>
      <c r="GP98" s="43"/>
      <c r="GQ98" s="43"/>
      <c r="GR98" s="43"/>
      <c r="GS98" s="43"/>
      <c r="GT98" s="43"/>
      <c r="GU98" s="43"/>
      <c r="GV98" s="43"/>
      <c r="GW98" s="43"/>
      <c r="GX98" s="43"/>
      <c r="GY98" s="43"/>
      <c r="GZ98" s="43"/>
      <c r="HA98" s="43"/>
      <c r="HB98" s="43"/>
      <c r="HC98" s="43"/>
      <c r="HD98" s="43"/>
      <c r="HE98" s="43"/>
      <c r="HF98" s="43"/>
      <c r="HG98" s="43"/>
      <c r="HH98" s="43"/>
      <c r="HI98" s="43"/>
      <c r="HJ98" s="43"/>
      <c r="HK98" s="43"/>
      <c r="HL98" s="43"/>
      <c r="HM98" s="43"/>
      <c r="HN98" s="43"/>
      <c r="HO98" s="43"/>
      <c r="HP98" s="43"/>
      <c r="HQ98" s="43"/>
      <c r="HR98" s="43"/>
      <c r="HS98" s="43"/>
      <c r="HT98" s="43"/>
      <c r="HU98" s="43"/>
      <c r="HV98" s="43"/>
      <c r="HW98" s="43"/>
      <c r="HX98" s="43"/>
      <c r="HY98" s="43"/>
      <c r="HZ98" s="43"/>
      <c r="IA98" s="43"/>
      <c r="IB98" s="43"/>
    </row>
    <row r="99" spans="1:236" s="130" customFormat="1">
      <c r="A99" s="152"/>
      <c r="B99" s="152"/>
      <c r="C99" s="152"/>
      <c r="D99" s="152"/>
      <c r="E99" s="152"/>
      <c r="F99" s="152"/>
      <c r="G99" s="152"/>
      <c r="H99" s="152"/>
      <c r="I99" s="152"/>
      <c r="J99" s="157"/>
      <c r="K99" s="222"/>
      <c r="L99" s="222"/>
      <c r="M99" s="222"/>
      <c r="N99" s="222"/>
      <c r="O99" s="222"/>
      <c r="P99" s="222"/>
      <c r="Q99" s="222"/>
      <c r="R99" s="222"/>
      <c r="S99" s="222"/>
      <c r="T99" s="222"/>
      <c r="U99" s="222"/>
      <c r="V99" s="222"/>
      <c r="W99" s="222"/>
      <c r="X99" s="222"/>
      <c r="Y99" s="276"/>
      <c r="Z99" s="276"/>
      <c r="AA99" s="276"/>
      <c r="AB99" s="276"/>
      <c r="AC99" s="276"/>
      <c r="AD99" s="276"/>
      <c r="AE99" s="276"/>
      <c r="AF99" s="276"/>
      <c r="AG99" s="276"/>
      <c r="AH99" s="276"/>
      <c r="AI99" s="276"/>
      <c r="AJ99" s="276"/>
      <c r="AK99" s="276"/>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43"/>
      <c r="BN99" s="43"/>
      <c r="BO99" s="43"/>
      <c r="BP99" s="43"/>
      <c r="BQ99" s="43"/>
      <c r="BR99" s="43"/>
      <c r="BS99" s="43"/>
      <c r="BT99" s="43"/>
      <c r="BU99" s="43"/>
      <c r="BV99" s="43"/>
      <c r="BW99" s="43"/>
      <c r="BX99" s="43"/>
      <c r="BY99" s="43"/>
      <c r="BZ99" s="43"/>
      <c r="CA99" s="43"/>
      <c r="CB99" s="43"/>
      <c r="CC99" s="43"/>
      <c r="CD99" s="43"/>
      <c r="CE99" s="43"/>
      <c r="CF99" s="43"/>
      <c r="CG99" s="43"/>
      <c r="CH99" s="43"/>
      <c r="CI99" s="43"/>
      <c r="CJ99" s="43"/>
      <c r="CK99" s="43"/>
      <c r="CL99" s="43"/>
      <c r="CM99" s="43"/>
      <c r="CN99" s="43"/>
      <c r="CO99" s="43"/>
      <c r="CP99" s="43"/>
      <c r="CQ99" s="43"/>
      <c r="CR99" s="43"/>
      <c r="CS99" s="43"/>
      <c r="CT99" s="43"/>
      <c r="CU99" s="43"/>
      <c r="CV99" s="43"/>
      <c r="CW99" s="43"/>
      <c r="CX99" s="43"/>
      <c r="CY99" s="43"/>
      <c r="CZ99" s="43"/>
      <c r="DA99" s="43"/>
      <c r="DB99" s="43"/>
      <c r="DC99" s="43"/>
      <c r="DD99" s="43"/>
      <c r="DE99" s="43"/>
      <c r="DF99" s="43"/>
      <c r="DG99" s="43"/>
      <c r="DH99" s="43"/>
      <c r="DI99" s="43"/>
      <c r="DJ99" s="43"/>
      <c r="DK99" s="43"/>
      <c r="DL99" s="43"/>
      <c r="DM99" s="43"/>
      <c r="DN99" s="43"/>
      <c r="DO99" s="43"/>
      <c r="DP99" s="43"/>
      <c r="DQ99" s="43"/>
      <c r="DR99" s="43"/>
      <c r="DS99" s="43"/>
      <c r="DT99" s="43"/>
      <c r="DU99" s="43"/>
      <c r="DV99" s="43"/>
      <c r="DW99" s="43"/>
      <c r="DX99" s="43"/>
      <c r="DY99" s="43"/>
      <c r="DZ99" s="43"/>
      <c r="EA99" s="43"/>
      <c r="EB99" s="43"/>
      <c r="EC99" s="43"/>
      <c r="ED99" s="43"/>
      <c r="EE99" s="43"/>
      <c r="EF99" s="43"/>
      <c r="EG99" s="43"/>
      <c r="EH99" s="43"/>
      <c r="EI99" s="43"/>
      <c r="EJ99" s="43"/>
      <c r="EK99" s="43"/>
      <c r="EL99" s="43"/>
      <c r="EM99" s="43"/>
      <c r="EN99" s="43"/>
      <c r="EO99" s="43"/>
      <c r="EP99" s="43"/>
      <c r="EQ99" s="43"/>
      <c r="ER99" s="43"/>
      <c r="ES99" s="43"/>
      <c r="ET99" s="43"/>
      <c r="EU99" s="43"/>
      <c r="EV99" s="43"/>
      <c r="EW99" s="43"/>
      <c r="EX99" s="43"/>
      <c r="EY99" s="43"/>
      <c r="EZ99" s="43"/>
      <c r="FA99" s="43"/>
      <c r="FB99" s="43"/>
      <c r="FC99" s="43"/>
      <c r="FD99" s="43"/>
      <c r="FE99" s="43"/>
      <c r="FF99" s="43"/>
      <c r="FG99" s="43"/>
      <c r="FH99" s="43"/>
      <c r="FI99" s="43"/>
      <c r="FJ99" s="43"/>
      <c r="FK99" s="43"/>
      <c r="FL99" s="43"/>
      <c r="FM99" s="43"/>
      <c r="FN99" s="43"/>
      <c r="FO99" s="43"/>
      <c r="FP99" s="43"/>
      <c r="FQ99" s="43"/>
      <c r="FR99" s="43"/>
      <c r="FS99" s="43"/>
      <c r="FT99" s="43"/>
      <c r="FU99" s="43"/>
      <c r="FV99" s="43"/>
      <c r="FW99" s="43"/>
      <c r="FX99" s="43"/>
      <c r="FY99" s="43"/>
      <c r="FZ99" s="43"/>
      <c r="GA99" s="43"/>
      <c r="GB99" s="43"/>
      <c r="GC99" s="43"/>
      <c r="GD99" s="43"/>
      <c r="GE99" s="43"/>
      <c r="GF99" s="43"/>
      <c r="GG99" s="43"/>
      <c r="GH99" s="43"/>
      <c r="GI99" s="43"/>
      <c r="GJ99" s="43"/>
      <c r="GK99" s="43"/>
      <c r="GL99" s="43"/>
      <c r="GM99" s="43"/>
      <c r="GN99" s="43"/>
      <c r="GO99" s="43"/>
      <c r="GP99" s="43"/>
      <c r="GQ99" s="43"/>
      <c r="GR99" s="43"/>
      <c r="GS99" s="43"/>
      <c r="GT99" s="43"/>
      <c r="GU99" s="43"/>
      <c r="GV99" s="43"/>
      <c r="GW99" s="43"/>
      <c r="GX99" s="43"/>
      <c r="GY99" s="43"/>
      <c r="GZ99" s="43"/>
      <c r="HA99" s="43"/>
      <c r="HB99" s="43"/>
      <c r="HC99" s="43"/>
      <c r="HD99" s="43"/>
      <c r="HE99" s="43"/>
      <c r="HF99" s="43"/>
      <c r="HG99" s="43"/>
      <c r="HH99" s="43"/>
      <c r="HI99" s="43"/>
      <c r="HJ99" s="43"/>
      <c r="HK99" s="43"/>
      <c r="HL99" s="43"/>
      <c r="HM99" s="43"/>
      <c r="HN99" s="43"/>
      <c r="HO99" s="43"/>
      <c r="HP99" s="43"/>
      <c r="HQ99" s="43"/>
      <c r="HR99" s="43"/>
      <c r="HS99" s="43"/>
      <c r="HT99" s="43"/>
      <c r="HU99" s="43"/>
      <c r="HV99" s="43"/>
      <c r="HW99" s="43"/>
      <c r="HX99" s="43"/>
      <c r="HY99" s="43"/>
      <c r="HZ99" s="43"/>
      <c r="IA99" s="43"/>
      <c r="IB99" s="43"/>
    </row>
    <row r="100" spans="1:236">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c r="BM100" s="43"/>
      <c r="BN100" s="43"/>
      <c r="BO100" s="43"/>
      <c r="BP100" s="43"/>
      <c r="BQ100" s="43"/>
      <c r="BR100" s="43"/>
      <c r="BS100" s="43"/>
      <c r="BT100" s="43"/>
      <c r="BU100" s="43"/>
      <c r="BV100" s="43"/>
      <c r="BW100" s="43"/>
      <c r="BX100" s="43"/>
      <c r="BY100" s="43"/>
      <c r="BZ100" s="43"/>
      <c r="CA100" s="43"/>
      <c r="CB100" s="43"/>
      <c r="CC100" s="43"/>
      <c r="CD100" s="43"/>
      <c r="CE100" s="43"/>
      <c r="CF100" s="43"/>
      <c r="CG100" s="43"/>
      <c r="CH100" s="43"/>
      <c r="CI100" s="43"/>
      <c r="CJ100" s="43"/>
      <c r="CK100" s="43"/>
      <c r="CL100" s="43"/>
      <c r="CM100" s="43"/>
      <c r="CN100" s="43"/>
      <c r="CO100" s="43"/>
      <c r="CP100" s="43"/>
      <c r="CQ100" s="43"/>
      <c r="CR100" s="43"/>
      <c r="CS100" s="43"/>
      <c r="CT100" s="43"/>
      <c r="CU100" s="43"/>
      <c r="CV100" s="43"/>
      <c r="CW100" s="43"/>
      <c r="CX100" s="43"/>
      <c r="CY100" s="43"/>
      <c r="CZ100" s="43"/>
      <c r="DA100" s="43"/>
      <c r="DB100" s="43"/>
      <c r="DC100" s="43"/>
      <c r="DD100" s="43"/>
      <c r="DE100" s="43"/>
      <c r="DF100" s="43"/>
      <c r="DG100" s="43"/>
      <c r="DH100" s="43"/>
      <c r="DI100" s="43"/>
      <c r="DJ100" s="43"/>
      <c r="DK100" s="43"/>
      <c r="DL100" s="43"/>
      <c r="DM100" s="43"/>
      <c r="DN100" s="43"/>
      <c r="DO100" s="43"/>
      <c r="DP100" s="43"/>
      <c r="DQ100" s="43"/>
      <c r="DR100" s="43"/>
      <c r="DS100" s="43"/>
      <c r="DT100" s="43"/>
      <c r="DU100" s="43"/>
      <c r="DV100" s="43"/>
      <c r="DW100" s="43"/>
      <c r="DX100" s="43"/>
      <c r="DY100" s="43"/>
      <c r="DZ100" s="43"/>
      <c r="EA100" s="43"/>
      <c r="EB100" s="43"/>
      <c r="EC100" s="43"/>
      <c r="ED100" s="43"/>
      <c r="EE100" s="43"/>
      <c r="EF100" s="43"/>
      <c r="EG100" s="43"/>
      <c r="EH100" s="43"/>
      <c r="EI100" s="43"/>
      <c r="EJ100" s="43"/>
      <c r="EK100" s="43"/>
      <c r="EL100" s="43"/>
      <c r="EM100" s="43"/>
      <c r="EN100" s="43"/>
      <c r="EO100" s="43"/>
      <c r="EP100" s="43"/>
      <c r="EQ100" s="43"/>
      <c r="ER100" s="43"/>
      <c r="ES100" s="43"/>
      <c r="ET100" s="43"/>
      <c r="EU100" s="43"/>
      <c r="EV100" s="43"/>
      <c r="EW100" s="43"/>
      <c r="EX100" s="43"/>
      <c r="EY100" s="43"/>
      <c r="EZ100" s="43"/>
      <c r="FA100" s="43"/>
      <c r="FB100" s="43"/>
      <c r="FC100" s="43"/>
      <c r="FD100" s="43"/>
      <c r="FE100" s="43"/>
      <c r="FF100" s="43"/>
      <c r="FG100" s="43"/>
      <c r="FH100" s="43"/>
      <c r="FI100" s="43"/>
      <c r="FJ100" s="43"/>
      <c r="FK100" s="43"/>
      <c r="FL100" s="43"/>
      <c r="FM100" s="43"/>
      <c r="FN100" s="43"/>
      <c r="FO100" s="43"/>
      <c r="FP100" s="43"/>
      <c r="FQ100" s="43"/>
      <c r="FR100" s="43"/>
      <c r="FS100" s="43"/>
      <c r="FT100" s="43"/>
      <c r="FU100" s="43"/>
      <c r="FV100" s="43"/>
      <c r="FW100" s="43"/>
      <c r="FX100" s="43"/>
      <c r="FY100" s="43"/>
      <c r="FZ100" s="43"/>
      <c r="GA100" s="43"/>
      <c r="GB100" s="43"/>
      <c r="GC100" s="43"/>
      <c r="GD100" s="43"/>
      <c r="GE100" s="43"/>
      <c r="GF100" s="43"/>
      <c r="GG100" s="43"/>
      <c r="GH100" s="43"/>
      <c r="GI100" s="43"/>
      <c r="GJ100" s="43"/>
      <c r="GK100" s="43"/>
      <c r="GL100" s="43"/>
      <c r="GM100" s="43"/>
      <c r="GN100" s="43"/>
      <c r="GO100" s="43"/>
      <c r="GP100" s="43"/>
      <c r="GQ100" s="43"/>
      <c r="GR100" s="43"/>
      <c r="GS100" s="43"/>
      <c r="GT100" s="43"/>
      <c r="GU100" s="43"/>
      <c r="GV100" s="43"/>
      <c r="GW100" s="43"/>
      <c r="GX100" s="43"/>
      <c r="GY100" s="43"/>
      <c r="GZ100" s="43"/>
      <c r="HA100" s="43"/>
      <c r="HB100" s="43"/>
      <c r="HC100" s="43"/>
      <c r="HD100" s="43"/>
      <c r="HE100" s="43"/>
      <c r="HF100" s="43"/>
      <c r="HG100" s="43"/>
      <c r="HH100" s="43"/>
      <c r="HI100" s="43"/>
      <c r="HJ100" s="43"/>
      <c r="HK100" s="43"/>
      <c r="HL100" s="43"/>
      <c r="HM100" s="43"/>
      <c r="HN100" s="43"/>
      <c r="HO100" s="43"/>
      <c r="HP100" s="43"/>
      <c r="HQ100" s="43"/>
      <c r="HR100" s="43"/>
      <c r="HS100" s="43"/>
      <c r="HT100" s="43"/>
      <c r="HU100" s="43"/>
      <c r="HV100" s="43"/>
      <c r="HW100" s="43"/>
      <c r="HX100" s="43"/>
      <c r="HY100" s="43"/>
      <c r="HZ100" s="43"/>
      <c r="IA100" s="43"/>
      <c r="IB100" s="43"/>
    </row>
  </sheetData>
  <mergeCells count="2">
    <mergeCell ref="L13:L15"/>
    <mergeCell ref="C34:G34"/>
  </mergeCells>
  <dataValidations count="3">
    <dataValidation type="list" allowBlank="1" showInputMessage="1" showErrorMessage="1" sqref="E16:E21" xr:uid="{00000000-0002-0000-0500-000000000000}">
      <formula1>$K$10:$K$12</formula1>
    </dataValidation>
    <dataValidation type="list" allowBlank="1" showInputMessage="1" showErrorMessage="1" sqref="B16:B21" xr:uid="{00000000-0002-0000-0500-000001000000}">
      <formula1>$U$13:$U$22</formula1>
    </dataValidation>
    <dataValidation type="decimal" operator="greaterThanOrEqual" allowBlank="1" showInputMessage="1" showErrorMessage="1" sqref="C16:C21" xr:uid="{00000000-0002-0000-0500-000002000000}">
      <formula1>0</formula1>
    </dataValidation>
  </dataValidations>
  <printOptions horizontalCentered="1"/>
  <pageMargins left="1" right="1" top="0.75" bottom="0.75" header="0.3" footer="0.3"/>
  <pageSetup scale="1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AF99"/>
  <sheetViews>
    <sheetView showZeros="0" workbookViewId="0"/>
  </sheetViews>
  <sheetFormatPr defaultColWidth="9.140625" defaultRowHeight="12.75"/>
  <cols>
    <col min="1" max="1" width="43.28515625" style="276" customWidth="1"/>
    <col min="2" max="2" width="26.85546875" style="276" customWidth="1"/>
    <col min="3" max="3" width="11" style="276" customWidth="1"/>
    <col min="4" max="4" width="10.7109375" style="276" customWidth="1"/>
    <col min="5" max="5" width="11.28515625" style="276" customWidth="1"/>
    <col min="6" max="6" width="9.42578125" style="276" customWidth="1"/>
    <col min="7" max="7" width="7.7109375" style="276" customWidth="1"/>
    <col min="8" max="8" width="10.42578125" style="276" customWidth="1"/>
    <col min="9" max="9" width="12.140625" style="276" customWidth="1"/>
    <col min="10" max="10" width="9.140625" style="222"/>
    <col min="11" max="11" width="9.7109375" style="222" hidden="1" customWidth="1"/>
    <col min="12" max="12" width="20.42578125" style="222" hidden="1" customWidth="1"/>
    <col min="13" max="23" width="0" style="222" hidden="1" customWidth="1"/>
    <col min="24" max="24" width="9.140625" style="222"/>
    <col min="25" max="32" width="9.140625" style="276"/>
    <col min="33" max="16384" width="9.140625" style="238"/>
  </cols>
  <sheetData>
    <row r="1" spans="1:27" ht="39.75" thickBot="1">
      <c r="B1" s="44" t="s">
        <v>178</v>
      </c>
      <c r="C1" s="215"/>
      <c r="D1" s="215"/>
      <c r="E1" s="196">
        <f>Inputs!G40</f>
        <v>0</v>
      </c>
      <c r="F1" s="224" t="s">
        <v>143</v>
      </c>
      <c r="G1" s="215"/>
      <c r="H1" s="215"/>
      <c r="I1" s="44"/>
      <c r="K1" s="416"/>
      <c r="L1" s="417" t="s">
        <v>186</v>
      </c>
      <c r="M1" s="417" t="str">
        <f>IF(Inputs!$B$68=0,"",Inputs!$B$68)</f>
        <v>Creep Feed</v>
      </c>
      <c r="N1" s="417" t="str">
        <f>IF(Inputs!$B$69=0,"",Inputs!$B$69)</f>
        <v xml:space="preserve">Pasture </v>
      </c>
      <c r="O1" s="417" t="str">
        <f>IF(Inputs!B70=0,"",Inputs!B70)</f>
        <v>Prairie Hay</v>
      </c>
      <c r="P1" s="417" t="str">
        <f>IF(Inputs!B71=0,"",Inputs!B71)</f>
        <v>Alfalfa</v>
      </c>
      <c r="Q1" s="417" t="str">
        <f>IF(Inputs!B72=0,"",Inputs!B72)</f>
        <v>DDG Cubes</v>
      </c>
      <c r="R1" s="417" t="str">
        <f>IF(Inputs!B73=0,"",Inputs!B73)</f>
        <v>Salt and Mineral</v>
      </c>
      <c r="S1" s="417" t="str">
        <f>IF(Inputs!B74=0,"",Inputs!B74)</f>
        <v>Silage</v>
      </c>
      <c r="T1" s="417" t="str">
        <f>IF(Inputs!B75=0,"",Inputs!B75)</f>
        <v>Corn</v>
      </c>
      <c r="U1" s="417" t="str">
        <f>IF(Inputs!B76=0,"",Inputs!B76)</f>
        <v>Wet Distiller's Grain</v>
      </c>
      <c r="V1" s="417" t="str">
        <f>IF(Inputs!B77=0,"",Inputs!B77)</f>
        <v>Corn Stalks</v>
      </c>
      <c r="W1" s="419" t="s">
        <v>30</v>
      </c>
    </row>
    <row r="2" spans="1:27" ht="26.25" thickBot="1">
      <c r="B2" s="41" t="s">
        <v>96</v>
      </c>
      <c r="C2" s="108"/>
      <c r="D2" s="109"/>
      <c r="E2" s="109"/>
      <c r="F2" s="41"/>
      <c r="G2" s="119"/>
      <c r="H2" s="108" t="s">
        <v>73</v>
      </c>
      <c r="I2" s="122" t="s">
        <v>93</v>
      </c>
      <c r="K2" s="418"/>
      <c r="L2" s="418">
        <f t="shared" ref="L2:L7" si="0">B16</f>
        <v>0</v>
      </c>
      <c r="M2" s="418">
        <f>IF(M$1=$L2,$K16,0)</f>
        <v>0</v>
      </c>
      <c r="N2" s="418">
        <f t="shared" ref="N2:V2" si="1">IF(N$1=$L2,$K16,0)</f>
        <v>0</v>
      </c>
      <c r="O2" s="418">
        <f t="shared" si="1"/>
        <v>0</v>
      </c>
      <c r="P2" s="418">
        <f t="shared" si="1"/>
        <v>0</v>
      </c>
      <c r="Q2" s="418">
        <f t="shared" si="1"/>
        <v>0</v>
      </c>
      <c r="R2" s="418">
        <f t="shared" si="1"/>
        <v>0</v>
      </c>
      <c r="S2" s="418">
        <f t="shared" si="1"/>
        <v>0</v>
      </c>
      <c r="T2" s="418">
        <f t="shared" si="1"/>
        <v>0</v>
      </c>
      <c r="U2" s="418">
        <f t="shared" si="1"/>
        <v>0</v>
      </c>
      <c r="V2" s="418">
        <f t="shared" si="1"/>
        <v>0</v>
      </c>
      <c r="W2" s="418">
        <f t="shared" ref="W2:W7" si="2">SUM(M2:V2)</f>
        <v>0</v>
      </c>
    </row>
    <row r="3" spans="1:27">
      <c r="B3" s="254"/>
      <c r="C3" s="362" t="s">
        <v>43</v>
      </c>
      <c r="D3" s="363" t="s">
        <v>29</v>
      </c>
      <c r="E3" s="363" t="s">
        <v>5</v>
      </c>
      <c r="F3" s="120"/>
      <c r="G3" s="121"/>
      <c r="H3" s="265" t="s">
        <v>30</v>
      </c>
      <c r="I3" s="91" t="s">
        <v>30</v>
      </c>
      <c r="K3" s="416"/>
      <c r="L3" s="418">
        <f t="shared" si="0"/>
        <v>0</v>
      </c>
      <c r="M3" s="418">
        <f t="shared" ref="M3:V7" si="3">IF(M$1=$L3,$K17,0)</f>
        <v>0</v>
      </c>
      <c r="N3" s="418">
        <f t="shared" si="3"/>
        <v>0</v>
      </c>
      <c r="O3" s="418">
        <f t="shared" si="3"/>
        <v>0</v>
      </c>
      <c r="P3" s="418">
        <f t="shared" si="3"/>
        <v>0</v>
      </c>
      <c r="Q3" s="418">
        <f t="shared" si="3"/>
        <v>0</v>
      </c>
      <c r="R3" s="418">
        <f t="shared" si="3"/>
        <v>0</v>
      </c>
      <c r="S3" s="418">
        <f t="shared" si="3"/>
        <v>0</v>
      </c>
      <c r="T3" s="418">
        <f t="shared" si="3"/>
        <v>0</v>
      </c>
      <c r="U3" s="418">
        <f t="shared" si="3"/>
        <v>0</v>
      </c>
      <c r="V3" s="418">
        <f t="shared" si="3"/>
        <v>0</v>
      </c>
      <c r="W3" s="418">
        <f t="shared" si="2"/>
        <v>0</v>
      </c>
    </row>
    <row r="4" spans="1:27">
      <c r="B4" s="27" t="s">
        <v>158</v>
      </c>
      <c r="C4" s="192">
        <f>Inputs!G42-Inputs!O42</f>
        <v>0</v>
      </c>
      <c r="D4" s="368">
        <f>Inputs!G43</f>
        <v>0</v>
      </c>
      <c r="E4" s="368">
        <f>Inputs!G44</f>
        <v>0</v>
      </c>
      <c r="F4" s="250" t="s">
        <v>1</v>
      </c>
      <c r="G4" s="367"/>
      <c r="H4" s="435">
        <f>C4*D4*E4/100</f>
        <v>0</v>
      </c>
      <c r="I4" s="496">
        <f>D4*E4/100</f>
        <v>0</v>
      </c>
      <c r="K4" s="416"/>
      <c r="L4" s="418">
        <f t="shared" si="0"/>
        <v>0</v>
      </c>
      <c r="M4" s="418">
        <f t="shared" si="3"/>
        <v>0</v>
      </c>
      <c r="N4" s="418">
        <f t="shared" si="3"/>
        <v>0</v>
      </c>
      <c r="O4" s="418">
        <f t="shared" si="3"/>
        <v>0</v>
      </c>
      <c r="P4" s="418">
        <f t="shared" si="3"/>
        <v>0</v>
      </c>
      <c r="Q4" s="418">
        <f t="shared" si="3"/>
        <v>0</v>
      </c>
      <c r="R4" s="418">
        <f t="shared" si="3"/>
        <v>0</v>
      </c>
      <c r="S4" s="418">
        <f t="shared" si="3"/>
        <v>0</v>
      </c>
      <c r="T4" s="418">
        <f t="shared" si="3"/>
        <v>0</v>
      </c>
      <c r="U4" s="418">
        <f t="shared" si="3"/>
        <v>0</v>
      </c>
      <c r="V4" s="418">
        <f t="shared" si="3"/>
        <v>0</v>
      </c>
      <c r="W4" s="418">
        <f t="shared" si="2"/>
        <v>0</v>
      </c>
    </row>
    <row r="5" spans="1:27">
      <c r="B5" s="249" t="s">
        <v>164</v>
      </c>
      <c r="C5" s="369">
        <f>Inputs!G45-Inputs!O45</f>
        <v>0</v>
      </c>
      <c r="D5" s="189">
        <f>Inputs!G46</f>
        <v>0</v>
      </c>
      <c r="E5" s="189">
        <f>Inputs!G47</f>
        <v>0</v>
      </c>
      <c r="F5" s="250" t="s">
        <v>1</v>
      </c>
      <c r="G5" s="264"/>
      <c r="H5" s="435">
        <f>C5*D5*E5/100</f>
        <v>0</v>
      </c>
      <c r="I5" s="496">
        <f>D5*E5/100</f>
        <v>0</v>
      </c>
      <c r="K5" s="416"/>
      <c r="L5" s="418">
        <f t="shared" si="0"/>
        <v>0</v>
      </c>
      <c r="M5" s="418">
        <f t="shared" si="3"/>
        <v>0</v>
      </c>
      <c r="N5" s="418">
        <f t="shared" si="3"/>
        <v>0</v>
      </c>
      <c r="O5" s="418">
        <f t="shared" si="3"/>
        <v>0</v>
      </c>
      <c r="P5" s="418">
        <f t="shared" si="3"/>
        <v>0</v>
      </c>
      <c r="Q5" s="418">
        <f t="shared" si="3"/>
        <v>0</v>
      </c>
      <c r="R5" s="418">
        <f t="shared" si="3"/>
        <v>0</v>
      </c>
      <c r="S5" s="418">
        <f t="shared" si="3"/>
        <v>0</v>
      </c>
      <c r="T5" s="418">
        <f t="shared" si="3"/>
        <v>0</v>
      </c>
      <c r="U5" s="418">
        <f t="shared" si="3"/>
        <v>0</v>
      </c>
      <c r="V5" s="418">
        <f t="shared" si="3"/>
        <v>0</v>
      </c>
      <c r="W5" s="418">
        <f t="shared" si="2"/>
        <v>0</v>
      </c>
    </row>
    <row r="6" spans="1:27" ht="13.5" thickBot="1">
      <c r="B6" s="249"/>
      <c r="C6" s="242"/>
      <c r="D6" s="250"/>
      <c r="E6" s="250"/>
      <c r="F6" s="250"/>
      <c r="G6" s="264"/>
      <c r="H6" s="435"/>
      <c r="I6" s="496"/>
      <c r="K6" s="416"/>
      <c r="L6" s="418">
        <f t="shared" si="0"/>
        <v>0</v>
      </c>
      <c r="M6" s="418">
        <f t="shared" si="3"/>
        <v>0</v>
      </c>
      <c r="N6" s="418">
        <f t="shared" si="3"/>
        <v>0</v>
      </c>
      <c r="O6" s="418">
        <f t="shared" si="3"/>
        <v>0</v>
      </c>
      <c r="P6" s="418">
        <f t="shared" si="3"/>
        <v>0</v>
      </c>
      <c r="Q6" s="418">
        <f t="shared" si="3"/>
        <v>0</v>
      </c>
      <c r="R6" s="418">
        <f t="shared" si="3"/>
        <v>0</v>
      </c>
      <c r="S6" s="418">
        <f t="shared" si="3"/>
        <v>0</v>
      </c>
      <c r="T6" s="418">
        <f t="shared" si="3"/>
        <v>0</v>
      </c>
      <c r="U6" s="418">
        <f t="shared" si="3"/>
        <v>0</v>
      </c>
      <c r="V6" s="418">
        <f t="shared" si="3"/>
        <v>0</v>
      </c>
      <c r="W6" s="418">
        <f t="shared" si="2"/>
        <v>0</v>
      </c>
    </row>
    <row r="7" spans="1:27" ht="13.5" thickBot="1">
      <c r="B7" s="123"/>
      <c r="C7" s="96"/>
      <c r="D7" s="42"/>
      <c r="E7" s="42"/>
      <c r="F7" s="42"/>
      <c r="G7" s="97" t="s">
        <v>109</v>
      </c>
      <c r="H7" s="474">
        <f>SUM(H4:H6)</f>
        <v>0</v>
      </c>
      <c r="I7" s="497">
        <f>IF(H7=0,0,H7/($C$5+$C$4))</f>
        <v>0</v>
      </c>
      <c r="K7" s="416"/>
      <c r="L7" s="418">
        <f t="shared" si="0"/>
        <v>0</v>
      </c>
      <c r="M7" s="418">
        <f t="shared" si="3"/>
        <v>0</v>
      </c>
      <c r="N7" s="418">
        <f t="shared" si="3"/>
        <v>0</v>
      </c>
      <c r="O7" s="418">
        <f t="shared" si="3"/>
        <v>0</v>
      </c>
      <c r="P7" s="418">
        <f t="shared" si="3"/>
        <v>0</v>
      </c>
      <c r="Q7" s="418">
        <f t="shared" si="3"/>
        <v>0</v>
      </c>
      <c r="R7" s="418">
        <f t="shared" si="3"/>
        <v>0</v>
      </c>
      <c r="S7" s="418">
        <f t="shared" si="3"/>
        <v>0</v>
      </c>
      <c r="T7" s="418">
        <f t="shared" si="3"/>
        <v>0</v>
      </c>
      <c r="U7" s="418">
        <f t="shared" si="3"/>
        <v>0</v>
      </c>
      <c r="V7" s="418">
        <f t="shared" si="3"/>
        <v>0</v>
      </c>
      <c r="W7" s="418">
        <f t="shared" si="2"/>
        <v>0</v>
      </c>
    </row>
    <row r="8" spans="1:27" ht="13.5" thickBot="1">
      <c r="B8" s="53"/>
      <c r="C8" s="53"/>
      <c r="D8" s="43"/>
      <c r="E8" s="43"/>
      <c r="F8" s="43"/>
      <c r="G8" s="43"/>
      <c r="H8" s="475"/>
      <c r="I8" s="498" t="str">
        <f>IF(H8=0,"",H8/$C$5)</f>
        <v/>
      </c>
      <c r="K8" s="416"/>
      <c r="L8" s="418" t="s">
        <v>30</v>
      </c>
      <c r="M8" s="418">
        <f>SUM(M2:M7)</f>
        <v>0</v>
      </c>
      <c r="N8" s="418">
        <f t="shared" ref="N8:V8" si="4">SUM(N2:N7)</f>
        <v>0</v>
      </c>
      <c r="O8" s="418">
        <f t="shared" si="4"/>
        <v>0</v>
      </c>
      <c r="P8" s="418">
        <f t="shared" si="4"/>
        <v>0</v>
      </c>
      <c r="Q8" s="418">
        <f t="shared" si="4"/>
        <v>0</v>
      </c>
      <c r="R8" s="418">
        <f t="shared" si="4"/>
        <v>0</v>
      </c>
      <c r="S8" s="418">
        <f t="shared" si="4"/>
        <v>0</v>
      </c>
      <c r="T8" s="418">
        <f t="shared" si="4"/>
        <v>0</v>
      </c>
      <c r="U8" s="418">
        <f t="shared" si="4"/>
        <v>0</v>
      </c>
      <c r="V8" s="418">
        <f t="shared" si="4"/>
        <v>0</v>
      </c>
      <c r="W8" s="418"/>
    </row>
    <row r="9" spans="1:27" ht="26.25" thickBot="1">
      <c r="B9" s="41" t="s">
        <v>95</v>
      </c>
      <c r="C9" s="108"/>
      <c r="D9" s="109"/>
      <c r="E9" s="109"/>
      <c r="F9" s="109"/>
      <c r="G9" s="109"/>
      <c r="H9" s="476" t="s">
        <v>73</v>
      </c>
      <c r="I9" s="499" t="s">
        <v>93</v>
      </c>
      <c r="K9" s="416"/>
      <c r="L9" s="416"/>
      <c r="M9" s="416"/>
      <c r="N9" s="416"/>
      <c r="O9" s="416"/>
      <c r="P9" s="416"/>
      <c r="Q9" s="416"/>
      <c r="R9" s="416"/>
      <c r="S9" s="416"/>
      <c r="T9" s="416"/>
      <c r="U9" s="416"/>
      <c r="V9" s="416"/>
      <c r="W9" s="416"/>
    </row>
    <row r="10" spans="1:27">
      <c r="B10" s="261"/>
      <c r="C10" s="360" t="s">
        <v>43</v>
      </c>
      <c r="D10" s="361" t="s">
        <v>29</v>
      </c>
      <c r="E10" s="361" t="s">
        <v>5</v>
      </c>
      <c r="F10" s="268"/>
      <c r="G10" s="284"/>
      <c r="H10" s="477" t="s">
        <v>30</v>
      </c>
      <c r="I10" s="500"/>
      <c r="K10" s="416" t="s">
        <v>60</v>
      </c>
      <c r="L10" s="416"/>
      <c r="M10" s="416"/>
      <c r="N10" s="416"/>
      <c r="O10" s="416"/>
      <c r="P10" s="416"/>
      <c r="Q10" s="416"/>
      <c r="R10" s="416"/>
      <c r="S10" s="416"/>
      <c r="T10" s="416"/>
      <c r="U10" s="416"/>
      <c r="V10" s="416"/>
      <c r="W10" s="416"/>
    </row>
    <row r="11" spans="1:27" ht="12.75" customHeight="1">
      <c r="B11" s="254" t="s">
        <v>133</v>
      </c>
      <c r="C11" s="117">
        <f>Inputs!G42</f>
        <v>0</v>
      </c>
      <c r="D11" s="189">
        <f>Inputs!G33</f>
        <v>700</v>
      </c>
      <c r="E11" s="251">
        <f>Inputs!G34</f>
        <v>165</v>
      </c>
      <c r="F11" s="250" t="s">
        <v>1</v>
      </c>
      <c r="G11" s="264"/>
      <c r="H11" s="478">
        <f>IF(C11=0,0,C11*D11*E11/100)</f>
        <v>0</v>
      </c>
      <c r="I11" s="501"/>
      <c r="K11" s="416" t="s">
        <v>63</v>
      </c>
      <c r="L11" s="416"/>
      <c r="M11" s="416"/>
      <c r="N11" s="416"/>
      <c r="O11" s="416"/>
      <c r="P11" s="416"/>
      <c r="Q11" s="416"/>
      <c r="R11" s="416"/>
      <c r="S11" s="416"/>
      <c r="T11" s="416"/>
      <c r="U11" s="416"/>
      <c r="V11" s="416"/>
      <c r="W11" s="416"/>
    </row>
    <row r="12" spans="1:27" ht="12.75" customHeight="1" thickBot="1">
      <c r="B12" s="254" t="s">
        <v>134</v>
      </c>
      <c r="C12" s="117">
        <f>Inputs!G45</f>
        <v>0</v>
      </c>
      <c r="D12" s="189">
        <f>Inputs!G36</f>
        <v>650</v>
      </c>
      <c r="E12" s="251">
        <f>Inputs!G37</f>
        <v>158</v>
      </c>
      <c r="F12" s="250" t="s">
        <v>1</v>
      </c>
      <c r="G12" s="264"/>
      <c r="H12" s="479">
        <f>IF(C12=0,0,C12*D12*E12/100)</f>
        <v>0</v>
      </c>
      <c r="I12" s="502"/>
      <c r="K12" s="418"/>
      <c r="L12" s="416"/>
      <c r="M12" s="416"/>
      <c r="N12" s="416"/>
      <c r="O12" s="416"/>
      <c r="P12" s="416"/>
      <c r="Q12" s="416"/>
      <c r="R12" s="416"/>
      <c r="S12" s="416"/>
      <c r="T12" s="416"/>
      <c r="U12" s="416"/>
      <c r="V12" s="416"/>
      <c r="W12" s="416"/>
    </row>
    <row r="13" spans="1:27" ht="13.5" customHeight="1" thickTop="1">
      <c r="B13" s="249"/>
      <c r="C13" s="238"/>
      <c r="D13" s="250"/>
      <c r="E13" s="43"/>
      <c r="F13" s="250"/>
      <c r="G13" s="257" t="s">
        <v>149</v>
      </c>
      <c r="H13" s="189">
        <f>SUM(H11:H12)</f>
        <v>0</v>
      </c>
      <c r="I13" s="503">
        <f>IF(H13=0,0,H13/($C$5+$C$4))</f>
        <v>0</v>
      </c>
      <c r="K13" s="418"/>
      <c r="L13" s="823"/>
      <c r="M13" s="418"/>
      <c r="N13" s="416"/>
      <c r="O13" s="416"/>
      <c r="P13" s="416"/>
      <c r="Q13" s="416"/>
      <c r="R13" s="416"/>
      <c r="S13" s="416"/>
      <c r="T13" s="416"/>
      <c r="U13" s="416" t="str">
        <f>IF(Inputs!B68="","",Inputs!B68)</f>
        <v>Creep Feed</v>
      </c>
      <c r="V13" s="416"/>
      <c r="W13" s="416"/>
      <c r="Y13" s="221"/>
      <c r="Z13" s="221"/>
      <c r="AA13" s="221"/>
    </row>
    <row r="14" spans="1:27">
      <c r="B14" s="249"/>
      <c r="C14" s="370"/>
      <c r="D14" s="250"/>
      <c r="E14" s="238"/>
      <c r="F14" s="250"/>
      <c r="G14" s="250"/>
      <c r="H14" s="189"/>
      <c r="I14" s="503"/>
      <c r="K14" s="418"/>
      <c r="L14" s="823"/>
      <c r="M14" s="418"/>
      <c r="N14" s="416"/>
      <c r="O14" s="416"/>
      <c r="P14" s="416"/>
      <c r="Q14" s="416"/>
      <c r="R14" s="416"/>
      <c r="S14" s="416"/>
      <c r="T14" s="416"/>
      <c r="U14" s="416" t="str">
        <f>IF(Inputs!B69="","",Inputs!B69)</f>
        <v xml:space="preserve">Pasture </v>
      </c>
      <c r="V14" s="416"/>
      <c r="W14" s="416"/>
      <c r="Y14" s="221"/>
      <c r="Z14" s="221"/>
      <c r="AA14" s="221"/>
    </row>
    <row r="15" spans="1:27" ht="39" customHeight="1">
      <c r="A15" s="155"/>
      <c r="B15" s="254" t="s">
        <v>7</v>
      </c>
      <c r="C15" s="355" t="s">
        <v>67</v>
      </c>
      <c r="D15" s="250"/>
      <c r="E15" s="356" t="s">
        <v>62</v>
      </c>
      <c r="F15" s="269" t="s">
        <v>5</v>
      </c>
      <c r="G15" s="116"/>
      <c r="H15" s="480" t="s">
        <v>30</v>
      </c>
      <c r="I15" s="504" t="s">
        <v>30</v>
      </c>
      <c r="K15" s="429"/>
      <c r="L15" s="823"/>
      <c r="M15" s="418"/>
      <c r="N15" s="416"/>
      <c r="O15" s="416"/>
      <c r="P15" s="416"/>
      <c r="Q15" s="416"/>
      <c r="R15" s="416"/>
      <c r="S15" s="416"/>
      <c r="T15" s="416"/>
      <c r="U15" s="416" t="str">
        <f>IF(Inputs!B70="","",Inputs!B70)</f>
        <v>Prairie Hay</v>
      </c>
      <c r="V15" s="416"/>
      <c r="W15" s="416"/>
      <c r="Y15" s="221"/>
      <c r="Z15" s="221"/>
      <c r="AA15" s="221"/>
    </row>
    <row r="16" spans="1:27">
      <c r="B16" s="733"/>
      <c r="C16" s="734"/>
      <c r="D16" s="277" t="str">
        <f t="shared" ref="D16:D21" si="5">IF(B16="","",CONCATENATE(VLOOKUP(B16,Feed,5,FALSE)))</f>
        <v/>
      </c>
      <c r="E16" s="736" t="s">
        <v>60</v>
      </c>
      <c r="F16" s="256" t="str">
        <f t="shared" ref="F16:F21" si="6">IF(B16="","",VLOOKUP(B16,Feed,7,FALSE))</f>
        <v/>
      </c>
      <c r="G16" s="272" t="str">
        <f t="shared" ref="G16:G21" si="7">IF(B16="","",CONCATENATE("$ ",VLOOKUP(B16,Feed,5,FALSE)))</f>
        <v/>
      </c>
      <c r="H16" s="433" t="str">
        <f t="shared" ref="H16:H21" si="8">IF(B16="","",C16*F16*IF(E16="per animal",($C$4+$C$5+$C$11+$C$12)/2,1))</f>
        <v/>
      </c>
      <c r="I16" s="437" t="str">
        <f t="shared" ref="I16:I21" si="9">IF(B16="","",IF(($C$4+$C$5)=0,"",H16/($C$4+$C$5)))</f>
        <v/>
      </c>
      <c r="K16" s="416">
        <f t="shared" ref="K16:K21" si="10">C16*IF(E16="total",1,IF(E16="per animal",($C$4+$C$5+$C$11+$C$12)/2,0))</f>
        <v>0</v>
      </c>
      <c r="L16" s="418"/>
      <c r="M16" s="430"/>
      <c r="N16" s="416"/>
      <c r="O16" s="431"/>
      <c r="P16" s="416"/>
      <c r="Q16" s="416"/>
      <c r="R16" s="416"/>
      <c r="S16" s="416"/>
      <c r="T16" s="416"/>
      <c r="U16" s="416" t="str">
        <f>IF(Inputs!B71="","",Inputs!B71)</f>
        <v>Alfalfa</v>
      </c>
      <c r="V16" s="416"/>
      <c r="W16" s="416"/>
      <c r="Y16" s="221"/>
      <c r="Z16" s="221"/>
      <c r="AA16" s="221"/>
    </row>
    <row r="17" spans="1:27">
      <c r="B17" s="732"/>
      <c r="C17" s="735"/>
      <c r="D17" s="277" t="str">
        <f t="shared" si="5"/>
        <v/>
      </c>
      <c r="E17" s="737" t="s">
        <v>60</v>
      </c>
      <c r="F17" s="256" t="str">
        <f t="shared" si="6"/>
        <v/>
      </c>
      <c r="G17" s="272" t="str">
        <f t="shared" si="7"/>
        <v/>
      </c>
      <c r="H17" s="433" t="str">
        <f t="shared" si="8"/>
        <v/>
      </c>
      <c r="I17" s="437" t="str">
        <f t="shared" si="9"/>
        <v/>
      </c>
      <c r="K17" s="416">
        <f t="shared" si="10"/>
        <v>0</v>
      </c>
      <c r="L17" s="418"/>
      <c r="M17" s="418"/>
      <c r="N17" s="416"/>
      <c r="O17" s="416"/>
      <c r="P17" s="416"/>
      <c r="Q17" s="416"/>
      <c r="R17" s="416"/>
      <c r="S17" s="416"/>
      <c r="T17" s="416"/>
      <c r="U17" s="416" t="str">
        <f>IF(Inputs!B72="","",Inputs!B72)</f>
        <v>DDG Cubes</v>
      </c>
      <c r="V17" s="416"/>
      <c r="W17" s="416"/>
      <c r="Y17" s="221"/>
      <c r="Z17" s="221"/>
      <c r="AA17" s="221"/>
    </row>
    <row r="18" spans="1:27">
      <c r="B18" s="204"/>
      <c r="C18" s="205"/>
      <c r="D18" s="277" t="str">
        <f t="shared" si="5"/>
        <v/>
      </c>
      <c r="E18" s="218"/>
      <c r="F18" s="256" t="str">
        <f t="shared" si="6"/>
        <v/>
      </c>
      <c r="G18" s="272" t="str">
        <f t="shared" si="7"/>
        <v/>
      </c>
      <c r="H18" s="433" t="str">
        <f t="shared" si="8"/>
        <v/>
      </c>
      <c r="I18" s="437" t="str">
        <f t="shared" si="9"/>
        <v/>
      </c>
      <c r="K18" s="416">
        <f t="shared" si="10"/>
        <v>0</v>
      </c>
      <c r="L18" s="418"/>
      <c r="M18" s="418"/>
      <c r="N18" s="416"/>
      <c r="O18" s="416"/>
      <c r="P18" s="416"/>
      <c r="Q18" s="416"/>
      <c r="R18" s="416"/>
      <c r="S18" s="416"/>
      <c r="T18" s="416"/>
      <c r="U18" s="416" t="str">
        <f>IF(Inputs!B73="","",Inputs!B73)</f>
        <v>Salt and Mineral</v>
      </c>
      <c r="V18" s="416"/>
      <c r="W18" s="416"/>
      <c r="Y18" s="221"/>
      <c r="Z18" s="221"/>
      <c r="AA18" s="221"/>
    </row>
    <row r="19" spans="1:27">
      <c r="B19" s="204"/>
      <c r="C19" s="205"/>
      <c r="D19" s="277" t="str">
        <f t="shared" si="5"/>
        <v/>
      </c>
      <c r="E19" s="218"/>
      <c r="F19" s="256" t="str">
        <f t="shared" si="6"/>
        <v/>
      </c>
      <c r="G19" s="272" t="str">
        <f t="shared" si="7"/>
        <v/>
      </c>
      <c r="H19" s="433" t="str">
        <f t="shared" si="8"/>
        <v/>
      </c>
      <c r="I19" s="437" t="str">
        <f t="shared" si="9"/>
        <v/>
      </c>
      <c r="K19" s="416">
        <f t="shared" si="10"/>
        <v>0</v>
      </c>
      <c r="L19" s="418"/>
      <c r="M19" s="418"/>
      <c r="N19" s="416"/>
      <c r="O19" s="416"/>
      <c r="P19" s="416"/>
      <c r="Q19" s="416"/>
      <c r="R19" s="416"/>
      <c r="S19" s="416"/>
      <c r="T19" s="416"/>
      <c r="U19" s="416" t="str">
        <f>IF(Inputs!B74="","",Inputs!B74)</f>
        <v>Silage</v>
      </c>
      <c r="V19" s="416"/>
      <c r="W19" s="416"/>
      <c r="Y19" s="221"/>
      <c r="Z19" s="221"/>
      <c r="AA19" s="221"/>
    </row>
    <row r="20" spans="1:27">
      <c r="B20" s="204"/>
      <c r="C20" s="205"/>
      <c r="D20" s="277" t="str">
        <f t="shared" si="5"/>
        <v/>
      </c>
      <c r="E20" s="218"/>
      <c r="F20" s="256" t="str">
        <f t="shared" si="6"/>
        <v/>
      </c>
      <c r="G20" s="272" t="str">
        <f t="shared" si="7"/>
        <v/>
      </c>
      <c r="H20" s="433" t="str">
        <f t="shared" si="8"/>
        <v/>
      </c>
      <c r="I20" s="437" t="str">
        <f t="shared" si="9"/>
        <v/>
      </c>
      <c r="K20" s="416">
        <f t="shared" si="10"/>
        <v>0</v>
      </c>
      <c r="L20" s="418"/>
      <c r="M20" s="418"/>
      <c r="N20" s="416"/>
      <c r="O20" s="416"/>
      <c r="P20" s="416"/>
      <c r="Q20" s="416"/>
      <c r="R20" s="416"/>
      <c r="S20" s="416"/>
      <c r="T20" s="416"/>
      <c r="U20" s="416" t="str">
        <f>IF(Inputs!B75="","",Inputs!B75)</f>
        <v>Corn</v>
      </c>
      <c r="V20" s="416"/>
      <c r="W20" s="416"/>
      <c r="Y20" s="221"/>
      <c r="Z20" s="221"/>
      <c r="AA20" s="221"/>
    </row>
    <row r="21" spans="1:27" ht="13.5" thickBot="1">
      <c r="B21" s="204"/>
      <c r="C21" s="205"/>
      <c r="D21" s="277" t="str">
        <f t="shared" si="5"/>
        <v/>
      </c>
      <c r="E21" s="218"/>
      <c r="F21" s="256" t="str">
        <f t="shared" si="6"/>
        <v/>
      </c>
      <c r="G21" s="272" t="str">
        <f t="shared" si="7"/>
        <v/>
      </c>
      <c r="H21" s="434" t="str">
        <f t="shared" si="8"/>
        <v/>
      </c>
      <c r="I21" s="505" t="str">
        <f t="shared" si="9"/>
        <v/>
      </c>
      <c r="K21" s="416">
        <f t="shared" si="10"/>
        <v>0</v>
      </c>
      <c r="L21" s="418"/>
      <c r="M21" s="418"/>
      <c r="N21" s="416"/>
      <c r="O21" s="416"/>
      <c r="P21" s="416"/>
      <c r="Q21" s="416"/>
      <c r="R21" s="416"/>
      <c r="S21" s="416"/>
      <c r="T21" s="416"/>
      <c r="U21" s="416" t="str">
        <f>IF(Inputs!B76="","",Inputs!B76)</f>
        <v>Wet Distiller's Grain</v>
      </c>
      <c r="V21" s="416"/>
      <c r="W21" s="416"/>
      <c r="Y21" s="221"/>
      <c r="Z21" s="221"/>
      <c r="AA21" s="221"/>
    </row>
    <row r="22" spans="1:27" ht="13.5" thickTop="1">
      <c r="B22" s="249"/>
      <c r="C22" s="75"/>
      <c r="D22" s="250"/>
      <c r="E22" s="257"/>
      <c r="F22" s="259"/>
      <c r="G22" s="257" t="s">
        <v>35</v>
      </c>
      <c r="H22" s="481">
        <f>SUM(H16:H21)</f>
        <v>0</v>
      </c>
      <c r="I22" s="506">
        <f>SUM(I16:I21)</f>
        <v>0</v>
      </c>
      <c r="K22" s="416"/>
      <c r="L22" s="416"/>
      <c r="M22" s="416"/>
      <c r="N22" s="416"/>
      <c r="O22" s="416"/>
      <c r="P22" s="416"/>
      <c r="Q22" s="416"/>
      <c r="R22" s="416"/>
      <c r="S22" s="416"/>
      <c r="T22" s="416"/>
      <c r="U22" s="416" t="str">
        <f>IF(Inputs!B77="","",Inputs!B77)</f>
        <v>Corn Stalks</v>
      </c>
      <c r="V22" s="416"/>
      <c r="W22" s="416"/>
      <c r="Y22" s="221"/>
      <c r="Z22" s="221"/>
      <c r="AA22" s="221"/>
    </row>
    <row r="23" spans="1:27">
      <c r="A23" s="156"/>
      <c r="B23" s="249"/>
      <c r="C23" s="242"/>
      <c r="D23" s="250"/>
      <c r="E23" s="250"/>
      <c r="F23" s="250"/>
      <c r="G23" s="250"/>
      <c r="H23" s="435"/>
      <c r="I23" s="496" t="str">
        <f>IF(H23=0,"",H23/$C$5)</f>
        <v/>
      </c>
      <c r="K23" s="416"/>
      <c r="L23" s="416"/>
      <c r="M23" s="416"/>
      <c r="N23" s="416"/>
      <c r="O23" s="416"/>
      <c r="P23" s="416"/>
      <c r="Q23" s="416"/>
      <c r="R23" s="416"/>
      <c r="S23" s="416"/>
      <c r="T23" s="416"/>
      <c r="U23" s="416"/>
      <c r="V23" s="416"/>
      <c r="W23" s="416"/>
      <c r="Y23" s="221"/>
      <c r="Z23" s="221"/>
      <c r="AA23" s="221"/>
    </row>
    <row r="24" spans="1:27">
      <c r="B24" s="262" t="s">
        <v>44</v>
      </c>
      <c r="C24" s="273"/>
      <c r="D24" s="357" t="s">
        <v>55</v>
      </c>
      <c r="E24" s="357" t="s">
        <v>176</v>
      </c>
      <c r="F24" s="363" t="s">
        <v>47</v>
      </c>
      <c r="G24" s="265"/>
      <c r="H24" s="482" t="s">
        <v>30</v>
      </c>
      <c r="I24" s="507" t="s">
        <v>30</v>
      </c>
      <c r="J24" s="223"/>
      <c r="K24" s="416"/>
      <c r="L24" s="416"/>
      <c r="M24" s="416"/>
      <c r="N24" s="416"/>
      <c r="O24" s="416"/>
      <c r="P24" s="416"/>
      <c r="Q24" s="416"/>
      <c r="R24" s="416"/>
      <c r="S24" s="416"/>
      <c r="T24" s="416"/>
      <c r="U24" s="416"/>
      <c r="V24" s="416"/>
      <c r="W24" s="416"/>
      <c r="Y24" s="221"/>
      <c r="Z24" s="221"/>
      <c r="AA24" s="221"/>
    </row>
    <row r="25" spans="1:27">
      <c r="B25" s="249" t="str">
        <f>Inputs!B81</f>
        <v>Labor</v>
      </c>
      <c r="C25" s="241"/>
      <c r="D25" s="255">
        <f>Inputs!D81</f>
        <v>10</v>
      </c>
      <c r="E25" s="358" t="str">
        <f>Inputs!E81</f>
        <v>per animal</v>
      </c>
      <c r="F25" s="124">
        <f>Inputs!S81</f>
        <v>0</v>
      </c>
      <c r="G25" s="264"/>
      <c r="H25" s="435">
        <f>D25*IF(E25="per animal",$C$11+$C$12,1)*F25</f>
        <v>0</v>
      </c>
      <c r="I25" s="437" t="str">
        <f>IF(B25="","",IF(($C$4+$C$5)=0,"",H25/($C$4+$C$5)))</f>
        <v/>
      </c>
      <c r="K25" s="416"/>
      <c r="L25" s="416"/>
      <c r="M25" s="416"/>
      <c r="N25" s="416"/>
      <c r="O25" s="416"/>
      <c r="P25" s="416"/>
      <c r="Q25" s="416"/>
      <c r="R25" s="416"/>
      <c r="S25" s="416"/>
      <c r="T25" s="416"/>
      <c r="U25" s="416"/>
      <c r="V25" s="416"/>
      <c r="W25" s="416"/>
      <c r="Y25" s="221"/>
      <c r="Z25" s="221"/>
      <c r="AA25" s="221"/>
    </row>
    <row r="26" spans="1:27">
      <c r="B26" s="249" t="str">
        <f>Inputs!B82</f>
        <v xml:space="preserve">Fuel / transportation </v>
      </c>
      <c r="C26" s="241"/>
      <c r="D26" s="255">
        <f>Inputs!D82</f>
        <v>15</v>
      </c>
      <c r="E26" s="358" t="str">
        <f>Inputs!E82</f>
        <v>per animal</v>
      </c>
      <c r="F26" s="124">
        <f>Inputs!S82</f>
        <v>0</v>
      </c>
      <c r="G26" s="264"/>
      <c r="H26" s="435">
        <f t="shared" ref="H26:H33" si="11">D26*IF(E26="per animal",$C$11+$C$12,1)*F26</f>
        <v>0</v>
      </c>
      <c r="I26" s="437" t="str">
        <f t="shared" ref="I26:I33" si="12">IF(B26="","",IF(($C$4+$C$5)=0,"",H26/($C$4+$C$5)))</f>
        <v/>
      </c>
      <c r="K26" s="416"/>
      <c r="L26" s="416"/>
      <c r="M26" s="416"/>
      <c r="N26" s="416"/>
      <c r="O26" s="416"/>
      <c r="P26" s="416"/>
      <c r="Q26" s="416"/>
      <c r="R26" s="416"/>
      <c r="S26" s="416"/>
      <c r="T26" s="416"/>
      <c r="U26" s="416"/>
      <c r="V26" s="416"/>
      <c r="W26" s="416"/>
      <c r="Y26" s="221"/>
      <c r="Z26" s="221"/>
      <c r="AA26" s="221"/>
    </row>
    <row r="27" spans="1:27">
      <c r="B27" s="249" t="str">
        <f>Inputs!B83</f>
        <v>Veterinary and Medical</v>
      </c>
      <c r="C27" s="241"/>
      <c r="D27" s="255">
        <f>Inputs!D83</f>
        <v>30</v>
      </c>
      <c r="E27" s="358" t="str">
        <f>Inputs!E83</f>
        <v>per animal</v>
      </c>
      <c r="F27" s="124">
        <f>Inputs!S83</f>
        <v>0</v>
      </c>
      <c r="G27" s="264"/>
      <c r="H27" s="435">
        <f t="shared" si="11"/>
        <v>0</v>
      </c>
      <c r="I27" s="437" t="str">
        <f t="shared" si="12"/>
        <v/>
      </c>
      <c r="K27" s="416"/>
      <c r="L27" s="416"/>
      <c r="M27" s="416"/>
      <c r="N27" s="416"/>
      <c r="O27" s="416"/>
      <c r="P27" s="416"/>
      <c r="Q27" s="416"/>
      <c r="R27" s="416"/>
      <c r="S27" s="416"/>
      <c r="T27" s="416"/>
      <c r="U27" s="416"/>
      <c r="V27" s="416"/>
      <c r="W27" s="416"/>
      <c r="Y27" s="221"/>
      <c r="Z27" s="221"/>
      <c r="AA27" s="221"/>
    </row>
    <row r="28" spans="1:27">
      <c r="B28" s="249" t="str">
        <f>Inputs!B89</f>
        <v>Stocker Marketing</v>
      </c>
      <c r="C28" s="274"/>
      <c r="D28" s="255">
        <f>Inputs!X89</f>
        <v>0</v>
      </c>
      <c r="E28" s="358" t="s">
        <v>60</v>
      </c>
      <c r="F28" s="124"/>
      <c r="G28" s="264"/>
      <c r="H28" s="590">
        <f>Inputs!Z89</f>
        <v>0</v>
      </c>
      <c r="I28" s="437" t="str">
        <f t="shared" si="12"/>
        <v/>
      </c>
      <c r="K28" s="416"/>
      <c r="L28" s="416"/>
      <c r="M28" s="416"/>
      <c r="N28" s="416"/>
      <c r="O28" s="416"/>
      <c r="P28" s="416"/>
      <c r="Q28" s="416"/>
      <c r="R28" s="416"/>
      <c r="S28" s="416"/>
      <c r="T28" s="416"/>
      <c r="U28" s="416"/>
      <c r="V28" s="416"/>
      <c r="W28" s="416"/>
      <c r="Y28" s="221"/>
      <c r="Z28" s="221"/>
      <c r="AA28" s="221"/>
    </row>
    <row r="29" spans="1:27" hidden="1">
      <c r="B29" s="283">
        <f>Inputs!B91</f>
        <v>0</v>
      </c>
      <c r="C29" s="251"/>
      <c r="D29" s="255">
        <f>Inputs!D91</f>
        <v>0</v>
      </c>
      <c r="E29" s="358">
        <f>Inputs!E91</f>
        <v>0</v>
      </c>
      <c r="F29" s="124">
        <f>Inputs!S91</f>
        <v>0</v>
      </c>
      <c r="G29" s="264"/>
      <c r="H29" s="435">
        <f t="shared" si="11"/>
        <v>0</v>
      </c>
      <c r="I29" s="437" t="str">
        <f t="shared" si="12"/>
        <v/>
      </c>
      <c r="K29" s="416"/>
      <c r="L29" s="416"/>
      <c r="M29" s="416"/>
      <c r="N29" s="416"/>
      <c r="O29" s="416"/>
      <c r="P29" s="416"/>
      <c r="Q29" s="416"/>
      <c r="R29" s="416"/>
      <c r="S29" s="416"/>
      <c r="T29" s="416"/>
      <c r="U29" s="416"/>
      <c r="V29" s="416"/>
      <c r="W29" s="416"/>
      <c r="Y29" s="221"/>
      <c r="Z29" s="221"/>
      <c r="AA29" s="221"/>
    </row>
    <row r="30" spans="1:27" hidden="1">
      <c r="B30" s="283">
        <f>Inputs!B92</f>
        <v>0</v>
      </c>
      <c r="C30" s="251" t="s">
        <v>9</v>
      </c>
      <c r="D30" s="255">
        <f>Inputs!D92</f>
        <v>0</v>
      </c>
      <c r="E30" s="358">
        <f>Inputs!E92</f>
        <v>0</v>
      </c>
      <c r="F30" s="124">
        <f>Inputs!S92</f>
        <v>0</v>
      </c>
      <c r="G30" s="264"/>
      <c r="H30" s="435">
        <f t="shared" si="11"/>
        <v>0</v>
      </c>
      <c r="I30" s="437" t="str">
        <f t="shared" si="12"/>
        <v/>
      </c>
      <c r="K30" s="416"/>
      <c r="L30" s="416"/>
      <c r="M30" s="416"/>
      <c r="N30" s="416"/>
      <c r="O30" s="416"/>
      <c r="P30" s="416"/>
      <c r="Q30" s="416"/>
      <c r="R30" s="416"/>
      <c r="S30" s="416"/>
      <c r="T30" s="416"/>
      <c r="U30" s="416"/>
      <c r="V30" s="416"/>
      <c r="W30" s="416"/>
      <c r="Y30" s="221"/>
      <c r="Z30" s="221"/>
      <c r="AA30" s="221"/>
    </row>
    <row r="31" spans="1:27" hidden="1">
      <c r="B31" s="283">
        <f>Inputs!B93</f>
        <v>0</v>
      </c>
      <c r="C31" s="251" t="s">
        <v>9</v>
      </c>
      <c r="D31" s="255">
        <f>Inputs!D93</f>
        <v>0</v>
      </c>
      <c r="E31" s="358">
        <f>Inputs!E93</f>
        <v>0</v>
      </c>
      <c r="F31" s="124">
        <f>Inputs!S93</f>
        <v>0</v>
      </c>
      <c r="G31" s="264"/>
      <c r="H31" s="435">
        <f t="shared" si="11"/>
        <v>0</v>
      </c>
      <c r="I31" s="437" t="str">
        <f t="shared" si="12"/>
        <v/>
      </c>
      <c r="K31" s="416"/>
      <c r="L31" s="416"/>
      <c r="M31" s="416"/>
      <c r="N31" s="416"/>
      <c r="O31" s="416"/>
      <c r="P31" s="416"/>
      <c r="Q31" s="416"/>
      <c r="R31" s="416"/>
      <c r="S31" s="416"/>
      <c r="T31" s="416"/>
      <c r="U31" s="416"/>
      <c r="V31" s="416"/>
      <c r="W31" s="416"/>
      <c r="Y31" s="221"/>
      <c r="Z31" s="221"/>
      <c r="AA31" s="221"/>
    </row>
    <row r="32" spans="1:27" hidden="1">
      <c r="B32" s="283">
        <f>Inputs!B94</f>
        <v>0</v>
      </c>
      <c r="C32" s="251"/>
      <c r="D32" s="255">
        <f>Inputs!D94</f>
        <v>0</v>
      </c>
      <c r="E32" s="358">
        <f>Inputs!E94</f>
        <v>0</v>
      </c>
      <c r="F32" s="124">
        <f>Inputs!S94</f>
        <v>0</v>
      </c>
      <c r="G32" s="264"/>
      <c r="H32" s="435">
        <f t="shared" si="11"/>
        <v>0</v>
      </c>
      <c r="I32" s="437" t="str">
        <f t="shared" si="12"/>
        <v/>
      </c>
      <c r="K32" s="416"/>
      <c r="L32" s="416"/>
      <c r="M32" s="416"/>
      <c r="N32" s="416"/>
      <c r="O32" s="416"/>
      <c r="P32" s="416"/>
      <c r="Q32" s="416"/>
      <c r="R32" s="416"/>
      <c r="S32" s="416"/>
      <c r="T32" s="416"/>
      <c r="U32" s="416"/>
      <c r="V32" s="416"/>
      <c r="W32" s="416"/>
      <c r="Y32" s="221"/>
      <c r="Z32" s="221"/>
      <c r="AA32" s="221"/>
    </row>
    <row r="33" spans="2:27" hidden="1">
      <c r="B33" s="283">
        <f>Inputs!B95</f>
        <v>0</v>
      </c>
      <c r="C33" s="251" t="s">
        <v>9</v>
      </c>
      <c r="D33" s="255">
        <f>Inputs!D95</f>
        <v>0</v>
      </c>
      <c r="E33" s="358">
        <f>Inputs!E95</f>
        <v>0</v>
      </c>
      <c r="F33" s="124">
        <f>Inputs!S95</f>
        <v>0</v>
      </c>
      <c r="G33" s="264"/>
      <c r="H33" s="435">
        <f t="shared" si="11"/>
        <v>0</v>
      </c>
      <c r="I33" s="437" t="str">
        <f t="shared" si="12"/>
        <v/>
      </c>
      <c r="K33" s="416"/>
      <c r="L33" s="416"/>
      <c r="M33" s="416"/>
      <c r="N33" s="416"/>
      <c r="O33" s="416"/>
      <c r="P33" s="416"/>
      <c r="Q33" s="416"/>
      <c r="R33" s="416"/>
      <c r="S33" s="416"/>
      <c r="T33" s="416"/>
      <c r="U33" s="416"/>
      <c r="V33" s="416"/>
      <c r="W33" s="416"/>
      <c r="Y33" s="221"/>
      <c r="Z33" s="221"/>
      <c r="AA33" s="221"/>
    </row>
    <row r="34" spans="2:27" ht="27" customHeight="1" thickBot="1">
      <c r="B34" s="172" t="s">
        <v>36</v>
      </c>
      <c r="C34" s="834" t="s">
        <v>117</v>
      </c>
      <c r="D34" s="835"/>
      <c r="E34" s="835"/>
      <c r="F34" s="835"/>
      <c r="G34" s="836"/>
      <c r="H34" s="449">
        <f>(SUM(H22,H25:H27,H29:H33,D40:D48)/2+H13)*Inputs!E111*E1/365</f>
        <v>0</v>
      </c>
      <c r="I34" s="438" t="str">
        <f>IF(B34="","",IF(($C$4+$C$5)=0,"",H34/($C$4+$C$5)))</f>
        <v/>
      </c>
      <c r="K34" s="416"/>
      <c r="L34" s="416"/>
      <c r="M34" s="416"/>
      <c r="N34" s="416"/>
      <c r="O34" s="416"/>
      <c r="P34" s="416"/>
      <c r="Q34" s="416"/>
      <c r="R34" s="416"/>
      <c r="S34" s="416"/>
      <c r="T34" s="416"/>
      <c r="U34" s="416"/>
      <c r="V34" s="416"/>
      <c r="W34" s="416"/>
      <c r="Y34" s="221"/>
      <c r="Z34" s="221"/>
      <c r="AA34" s="221"/>
    </row>
    <row r="35" spans="2:27" ht="14.25" thickTop="1" thickBot="1">
      <c r="B35" s="252"/>
      <c r="C35" s="243"/>
      <c r="D35" s="258"/>
      <c r="E35" s="258"/>
      <c r="F35" s="281"/>
      <c r="G35" s="258" t="s">
        <v>144</v>
      </c>
      <c r="H35" s="483">
        <f>SUM(H25:H34)</f>
        <v>0</v>
      </c>
      <c r="I35" s="508">
        <f>SUM(I25:I34)</f>
        <v>0</v>
      </c>
      <c r="K35" s="416"/>
      <c r="L35" s="416"/>
      <c r="M35" s="416"/>
      <c r="N35" s="416"/>
      <c r="O35" s="416"/>
      <c r="P35" s="416"/>
      <c r="Q35" s="416"/>
      <c r="R35" s="416"/>
      <c r="S35" s="416"/>
      <c r="T35" s="416"/>
      <c r="U35" s="416"/>
      <c r="V35" s="416"/>
      <c r="W35" s="416"/>
      <c r="Y35" s="221"/>
      <c r="Z35" s="221"/>
      <c r="AA35" s="221"/>
    </row>
    <row r="36" spans="2:27" ht="13.5" thickBot="1">
      <c r="B36" s="123"/>
      <c r="C36" s="96"/>
      <c r="D36" s="42"/>
      <c r="E36" s="42"/>
      <c r="F36" s="42"/>
      <c r="G36" s="21" t="s">
        <v>103</v>
      </c>
      <c r="H36" s="484">
        <f>H13+H22+H35</f>
        <v>0</v>
      </c>
      <c r="I36" s="509">
        <f>I13+I22+I35</f>
        <v>0</v>
      </c>
      <c r="K36" s="416"/>
      <c r="L36" s="416"/>
      <c r="M36" s="416"/>
      <c r="N36" s="416"/>
      <c r="O36" s="416"/>
      <c r="P36" s="416"/>
      <c r="Q36" s="416"/>
      <c r="R36" s="416"/>
      <c r="S36" s="416"/>
      <c r="T36" s="416"/>
      <c r="U36" s="416"/>
      <c r="V36" s="416"/>
      <c r="W36" s="416"/>
      <c r="Y36" s="221"/>
      <c r="Z36" s="221"/>
      <c r="AA36" s="221"/>
    </row>
    <row r="37" spans="2:27" ht="13.5" thickBot="1">
      <c r="B37" s="250"/>
      <c r="C37" s="250"/>
      <c r="D37" s="250"/>
      <c r="E37" s="250"/>
      <c r="F37" s="257"/>
      <c r="G37" s="257"/>
      <c r="H37" s="485"/>
      <c r="I37" s="510" t="str">
        <f>IF(H37=0,"",H37/$C$5)</f>
        <v/>
      </c>
      <c r="Y37" s="221"/>
      <c r="Z37" s="221"/>
      <c r="AA37" s="221"/>
    </row>
    <row r="38" spans="2:27" ht="26.25" thickBot="1">
      <c r="B38" s="41" t="s">
        <v>108</v>
      </c>
      <c r="C38" s="108"/>
      <c r="D38" s="109"/>
      <c r="E38" s="109"/>
      <c r="F38" s="109"/>
      <c r="G38" s="109"/>
      <c r="H38" s="476" t="s">
        <v>73</v>
      </c>
      <c r="I38" s="499" t="s">
        <v>93</v>
      </c>
      <c r="Y38" s="221"/>
      <c r="Z38" s="221"/>
      <c r="AA38" s="221"/>
    </row>
    <row r="39" spans="2:27">
      <c r="B39" s="262" t="s">
        <v>38</v>
      </c>
      <c r="C39" s="242"/>
      <c r="D39" s="363" t="s">
        <v>14</v>
      </c>
      <c r="E39" s="363"/>
      <c r="F39" s="363" t="s">
        <v>47</v>
      </c>
      <c r="G39" s="265"/>
      <c r="H39" s="486" t="s">
        <v>30</v>
      </c>
      <c r="I39" s="511" t="s">
        <v>30</v>
      </c>
      <c r="Y39" s="221"/>
      <c r="Z39" s="221"/>
      <c r="AA39" s="221"/>
    </row>
    <row r="40" spans="2:27">
      <c r="B40" s="249" t="str">
        <f>Inputs!B100</f>
        <v>Machinery (Livestock)</v>
      </c>
      <c r="C40" s="242"/>
      <c r="D40" s="365">
        <f>Inputs!G100</f>
        <v>2000</v>
      </c>
      <c r="E40" s="255"/>
      <c r="F40" s="263">
        <f>IF(D40=0,0,Inputs!S100)</f>
        <v>0</v>
      </c>
      <c r="G40" s="271"/>
      <c r="H40" s="433">
        <f>IF(B40="","",D40*F40)</f>
        <v>0</v>
      </c>
      <c r="I40" s="437" t="str">
        <f>IF(B40="","",IF(($C$4+$C$5)=0,"",H40/($C$4+$C$5)))</f>
        <v/>
      </c>
      <c r="Y40" s="221"/>
      <c r="Z40" s="221"/>
      <c r="AA40" s="221"/>
    </row>
    <row r="41" spans="2:27">
      <c r="B41" s="249" t="str">
        <f>Inputs!B101</f>
        <v>Vehicles</v>
      </c>
      <c r="C41" s="242"/>
      <c r="D41" s="365">
        <f>Inputs!G101</f>
        <v>1000</v>
      </c>
      <c r="E41" s="255"/>
      <c r="F41" s="263">
        <f>IF(D41=0,0,Inputs!S101)</f>
        <v>0</v>
      </c>
      <c r="G41" s="271"/>
      <c r="H41" s="433">
        <f t="shared" ref="H41:H48" si="13">IF(B41="","",D41*F41)</f>
        <v>0</v>
      </c>
      <c r="I41" s="437" t="str">
        <f t="shared" ref="I41:I48" si="14">IF(B41="","",IF(($C$4+$C$5)=0,"",H41/($C$4+$C$5)))</f>
        <v/>
      </c>
      <c r="Y41" s="221"/>
      <c r="Z41" s="221"/>
      <c r="AA41" s="221"/>
    </row>
    <row r="42" spans="2:27">
      <c r="B42" s="283" t="str">
        <f>Inputs!B102</f>
        <v>Barn</v>
      </c>
      <c r="C42" s="250"/>
      <c r="D42" s="365">
        <f>Inputs!G102</f>
        <v>500</v>
      </c>
      <c r="E42" s="255"/>
      <c r="F42" s="263">
        <f>IF(D42=0,0,Inputs!S102)</f>
        <v>0</v>
      </c>
      <c r="G42" s="271"/>
      <c r="H42" s="433">
        <f t="shared" si="13"/>
        <v>0</v>
      </c>
      <c r="I42" s="437" t="str">
        <f t="shared" si="14"/>
        <v/>
      </c>
      <c r="Y42" s="221"/>
      <c r="Z42" s="221"/>
      <c r="AA42" s="221"/>
    </row>
    <row r="43" spans="2:27">
      <c r="B43" s="283">
        <f>Inputs!B103</f>
        <v>0</v>
      </c>
      <c r="C43" s="250"/>
      <c r="D43" s="365">
        <f>Inputs!G103</f>
        <v>0</v>
      </c>
      <c r="E43" s="255"/>
      <c r="F43" s="263">
        <f>IF(D43=0,0,Inputs!S103)</f>
        <v>0</v>
      </c>
      <c r="G43" s="271"/>
      <c r="H43" s="433">
        <f t="shared" si="13"/>
        <v>0</v>
      </c>
      <c r="I43" s="437" t="str">
        <f t="shared" si="14"/>
        <v/>
      </c>
      <c r="Y43" s="221"/>
      <c r="Z43" s="221"/>
      <c r="AA43" s="221"/>
    </row>
    <row r="44" spans="2:27" hidden="1">
      <c r="B44" s="283">
        <f>Inputs!B104</f>
        <v>0</v>
      </c>
      <c r="C44" s="250"/>
      <c r="D44" s="365">
        <f>Inputs!G104</f>
        <v>0</v>
      </c>
      <c r="E44" s="255"/>
      <c r="F44" s="263">
        <f>IF(D44=0,0,Inputs!S104)</f>
        <v>0</v>
      </c>
      <c r="G44" s="271"/>
      <c r="H44" s="433">
        <f t="shared" si="13"/>
        <v>0</v>
      </c>
      <c r="I44" s="437" t="str">
        <f t="shared" si="14"/>
        <v/>
      </c>
      <c r="Y44" s="221"/>
      <c r="Z44" s="221"/>
      <c r="AA44" s="221"/>
    </row>
    <row r="45" spans="2:27" hidden="1">
      <c r="B45" s="283">
        <f>Inputs!B105</f>
        <v>0</v>
      </c>
      <c r="C45" s="250"/>
      <c r="D45" s="365">
        <f>Inputs!G105</f>
        <v>0</v>
      </c>
      <c r="E45" s="255"/>
      <c r="F45" s="263">
        <f>IF(D45=0,0,Inputs!S105)</f>
        <v>0</v>
      </c>
      <c r="G45" s="271"/>
      <c r="H45" s="433">
        <f t="shared" si="13"/>
        <v>0</v>
      </c>
      <c r="I45" s="437" t="str">
        <f t="shared" si="14"/>
        <v/>
      </c>
      <c r="Y45" s="221"/>
      <c r="Z45" s="221"/>
      <c r="AA45" s="221"/>
    </row>
    <row r="46" spans="2:27" hidden="1">
      <c r="B46" s="283">
        <f>Inputs!B106</f>
        <v>0</v>
      </c>
      <c r="C46" s="250"/>
      <c r="D46" s="365">
        <f>Inputs!G106</f>
        <v>0</v>
      </c>
      <c r="E46" s="255"/>
      <c r="F46" s="263">
        <f>IF(D46=0,0,Inputs!S106)</f>
        <v>0</v>
      </c>
      <c r="G46" s="271"/>
      <c r="H46" s="433">
        <f t="shared" si="13"/>
        <v>0</v>
      </c>
      <c r="I46" s="437" t="str">
        <f t="shared" si="14"/>
        <v/>
      </c>
      <c r="Y46" s="221"/>
      <c r="Z46" s="221"/>
      <c r="AA46" s="221"/>
    </row>
    <row r="47" spans="2:27" hidden="1">
      <c r="B47" s="283">
        <f>Inputs!B107</f>
        <v>0</v>
      </c>
      <c r="C47" s="250"/>
      <c r="D47" s="365">
        <f>Inputs!G107</f>
        <v>0</v>
      </c>
      <c r="E47" s="255"/>
      <c r="F47" s="263">
        <f>IF(D47=0,0,Inputs!S107)</f>
        <v>0</v>
      </c>
      <c r="G47" s="271"/>
      <c r="H47" s="433">
        <f t="shared" si="13"/>
        <v>0</v>
      </c>
      <c r="I47" s="437" t="str">
        <f t="shared" si="14"/>
        <v/>
      </c>
      <c r="Y47" s="221"/>
      <c r="Z47" s="221"/>
      <c r="AA47" s="221"/>
    </row>
    <row r="48" spans="2:27" ht="13.5" thickBot="1">
      <c r="B48" s="283">
        <f>Inputs!B108</f>
        <v>0</v>
      </c>
      <c r="C48" s="250"/>
      <c r="D48" s="365">
        <f>Inputs!G108</f>
        <v>0</v>
      </c>
      <c r="E48" s="255"/>
      <c r="F48" s="263">
        <f>IF(D48=0,0,Inputs!S108)</f>
        <v>0</v>
      </c>
      <c r="G48" s="271"/>
      <c r="H48" s="434">
        <f t="shared" si="13"/>
        <v>0</v>
      </c>
      <c r="I48" s="505" t="str">
        <f t="shared" si="14"/>
        <v/>
      </c>
      <c r="Y48" s="221"/>
      <c r="Z48" s="221"/>
      <c r="AA48" s="221"/>
    </row>
    <row r="49" spans="1:32" ht="13.5" thickTop="1">
      <c r="B49" s="249"/>
      <c r="C49" s="242"/>
      <c r="D49" s="238"/>
      <c r="E49" s="92"/>
      <c r="F49" s="92"/>
      <c r="G49" s="126" t="s">
        <v>111</v>
      </c>
      <c r="H49" s="487">
        <f>SUM(H40:H48)</f>
        <v>0</v>
      </c>
      <c r="I49" s="512">
        <f>SUM(I40:I48)</f>
        <v>0</v>
      </c>
      <c r="Y49" s="221"/>
      <c r="Z49" s="221"/>
      <c r="AA49" s="221"/>
    </row>
    <row r="50" spans="1:32">
      <c r="B50" s="249"/>
      <c r="C50" s="242"/>
      <c r="D50" s="250"/>
      <c r="E50" s="250"/>
      <c r="F50" s="250"/>
      <c r="G50" s="250"/>
      <c r="H50" s="435"/>
      <c r="I50" s="496" t="str">
        <f>IF(H50=0,"",H50/$C$5)</f>
        <v/>
      </c>
      <c r="Y50" s="221"/>
      <c r="Z50" s="221"/>
      <c r="AA50" s="221"/>
    </row>
    <row r="51" spans="1:32">
      <c r="B51" s="262" t="s">
        <v>53</v>
      </c>
      <c r="C51" s="242"/>
      <c r="D51" s="363" t="s">
        <v>55</v>
      </c>
      <c r="E51" s="250"/>
      <c r="F51" s="363" t="s">
        <v>47</v>
      </c>
      <c r="G51" s="264"/>
      <c r="H51" s="482" t="s">
        <v>30</v>
      </c>
      <c r="I51" s="504" t="s">
        <v>30</v>
      </c>
      <c r="Y51" s="221"/>
      <c r="Z51" s="221"/>
      <c r="AA51" s="221"/>
    </row>
    <row r="52" spans="1:32">
      <c r="B52" s="249" t="str">
        <f>Inputs!B117</f>
        <v>Real Estate Tax</v>
      </c>
      <c r="C52" s="242"/>
      <c r="D52" s="110">
        <f>Inputs!E117</f>
        <v>0</v>
      </c>
      <c r="E52" s="250"/>
      <c r="F52" s="278">
        <f>IF(D52=0,0,Inputs!S117)</f>
        <v>0</v>
      </c>
      <c r="G52" s="264"/>
      <c r="H52" s="435">
        <f>F52*Inputs!E117</f>
        <v>0</v>
      </c>
      <c r="I52" s="437" t="str">
        <f>IF(B52="","",IF(($C$4+$C$5)=0,"",H52/($C$4+$C$5)))</f>
        <v/>
      </c>
      <c r="Y52" s="221"/>
      <c r="Z52" s="221"/>
      <c r="AA52" s="221"/>
    </row>
    <row r="53" spans="1:32">
      <c r="B53" s="249" t="str">
        <f>Inputs!B118</f>
        <v>Annual Insurance Premium</v>
      </c>
      <c r="C53" s="242"/>
      <c r="D53" s="110">
        <f>Inputs!E118</f>
        <v>1500</v>
      </c>
      <c r="E53" s="250"/>
      <c r="F53" s="278">
        <f>IF(D53=0,0,Inputs!S118)</f>
        <v>0</v>
      </c>
      <c r="G53" s="264"/>
      <c r="H53" s="435">
        <f>F53*Inputs!E118</f>
        <v>0</v>
      </c>
      <c r="I53" s="437" t="str">
        <f>IF(B53="","",IF(($C$4+$C$5)=0,"",H53/($C$4+$C$5)))</f>
        <v/>
      </c>
      <c r="Y53" s="221"/>
      <c r="Z53" s="221"/>
      <c r="AA53" s="221"/>
    </row>
    <row r="54" spans="1:32">
      <c r="B54" s="249" t="str">
        <f>Inputs!B119</f>
        <v>Professional Fees</v>
      </c>
      <c r="C54" s="242"/>
      <c r="D54" s="110">
        <f>Inputs!E119</f>
        <v>750</v>
      </c>
      <c r="E54" s="250"/>
      <c r="F54" s="278">
        <f>IF(D54=0,0,Inputs!S119)</f>
        <v>0</v>
      </c>
      <c r="G54" s="264"/>
      <c r="H54" s="435">
        <f>F54*Inputs!E119</f>
        <v>0</v>
      </c>
      <c r="I54" s="437" t="str">
        <f>IF(B54="","",IF(($C$4+$C$5)=0,"",H54/($C$4+$C$5)))</f>
        <v/>
      </c>
      <c r="Y54" s="221"/>
      <c r="Z54" s="221"/>
      <c r="AA54" s="221"/>
    </row>
    <row r="55" spans="1:32">
      <c r="B55" s="249" t="str">
        <f>Inputs!B120</f>
        <v>Annual Management Charge</v>
      </c>
      <c r="C55" s="242"/>
      <c r="D55" s="110">
        <f>Inputs!E120</f>
        <v>0</v>
      </c>
      <c r="E55" s="250"/>
      <c r="F55" s="278">
        <f>IF(D55=0,0,Inputs!S120)</f>
        <v>0</v>
      </c>
      <c r="G55" s="264"/>
      <c r="H55" s="435">
        <f>F55*Inputs!E120</f>
        <v>0</v>
      </c>
      <c r="I55" s="437" t="str">
        <f>IF(B55="","",IF(($C$4+$C$5)=0,"",H55/($C$4+$C$5)))</f>
        <v/>
      </c>
      <c r="Y55" s="221"/>
      <c r="Z55" s="221"/>
      <c r="AA55" s="221"/>
    </row>
    <row r="56" spans="1:32" ht="13.5" thickBot="1">
      <c r="B56" s="249" t="str">
        <f>Inputs!B121</f>
        <v>Other</v>
      </c>
      <c r="C56" s="242"/>
      <c r="D56" s="110">
        <f>Inputs!E121</f>
        <v>0</v>
      </c>
      <c r="E56" s="250"/>
      <c r="F56" s="278">
        <f>IF(D56=0,0,Inputs!S121)</f>
        <v>0</v>
      </c>
      <c r="G56" s="264"/>
      <c r="H56" s="488">
        <f>F56*Inputs!E121</f>
        <v>0</v>
      </c>
      <c r="I56" s="505" t="str">
        <f>IF(B56="","",IF(($C$4+$C$5)=0,"",H56/($C$4+$C$5)))</f>
        <v/>
      </c>
      <c r="Y56" s="221"/>
      <c r="Z56" s="221"/>
      <c r="AA56" s="221"/>
    </row>
    <row r="57" spans="1:32" ht="14.25" thickTop="1" thickBot="1">
      <c r="B57" s="252"/>
      <c r="C57" s="243"/>
      <c r="D57" s="253"/>
      <c r="E57" s="253"/>
      <c r="F57" s="238"/>
      <c r="G57" s="258" t="s">
        <v>42</v>
      </c>
      <c r="H57" s="489">
        <f>SUM(H52:H56)</f>
        <v>0</v>
      </c>
      <c r="I57" s="513">
        <f>SUM(I52:I56)</f>
        <v>0</v>
      </c>
      <c r="K57" s="223"/>
      <c r="Y57" s="221"/>
      <c r="Z57" s="221"/>
      <c r="AA57" s="221"/>
    </row>
    <row r="58" spans="1:32" ht="13.5" thickBot="1">
      <c r="B58" s="99">
        <v>217480.06701030929</v>
      </c>
      <c r="C58" s="96"/>
      <c r="D58" s="42"/>
      <c r="E58" s="42"/>
      <c r="F58" s="42"/>
      <c r="G58" s="21" t="s">
        <v>102</v>
      </c>
      <c r="H58" s="484">
        <f>H49+H57</f>
        <v>0</v>
      </c>
      <c r="I58" s="514">
        <f>I49+I57</f>
        <v>0</v>
      </c>
      <c r="J58" s="160"/>
      <c r="Y58" s="221"/>
      <c r="Z58" s="221"/>
      <c r="AA58" s="221"/>
    </row>
    <row r="59" spans="1:32" ht="13.5" thickBot="1">
      <c r="B59" s="43"/>
      <c r="C59" s="43"/>
      <c r="D59" s="43"/>
      <c r="E59" s="43"/>
      <c r="F59" s="43"/>
      <c r="G59" s="43"/>
      <c r="H59" s="490"/>
      <c r="I59" s="498" t="str">
        <f>IF(H59=0,"",H59/$C$5)</f>
        <v/>
      </c>
      <c r="Y59" s="221"/>
      <c r="Z59" s="221"/>
      <c r="AA59" s="221"/>
    </row>
    <row r="60" spans="1:32" ht="13.5" thickBot="1">
      <c r="B60" s="98"/>
      <c r="C60" s="96"/>
      <c r="D60" s="67"/>
      <c r="E60" s="67"/>
      <c r="F60" s="67"/>
      <c r="G60" s="21" t="s">
        <v>110</v>
      </c>
      <c r="H60" s="484">
        <f>H36+H58</f>
        <v>0</v>
      </c>
      <c r="I60" s="514">
        <f>I36+I58</f>
        <v>0</v>
      </c>
      <c r="Y60" s="221"/>
      <c r="Z60" s="221"/>
      <c r="AA60" s="221"/>
    </row>
    <row r="61" spans="1:32" ht="13.5" thickBot="1">
      <c r="B61" s="104"/>
      <c r="C61" s="104"/>
      <c r="D61" s="104"/>
      <c r="E61" s="104"/>
      <c r="F61" s="104"/>
      <c r="G61" s="104"/>
      <c r="H61" s="491"/>
      <c r="I61" s="515"/>
      <c r="Y61" s="221"/>
      <c r="Z61" s="221"/>
      <c r="AA61" s="221"/>
    </row>
    <row r="62" spans="1:32" ht="13.5" thickBot="1">
      <c r="B62" s="98"/>
      <c r="C62" s="96"/>
      <c r="D62" s="67"/>
      <c r="E62" s="67"/>
      <c r="F62" s="67"/>
      <c r="G62" s="21" t="s">
        <v>104</v>
      </c>
      <c r="H62" s="484">
        <f>H7-H60</f>
        <v>0</v>
      </c>
      <c r="I62" s="514">
        <f>I7-I60</f>
        <v>0</v>
      </c>
      <c r="Y62" s="221"/>
      <c r="Z62" s="221"/>
      <c r="AA62" s="221"/>
    </row>
    <row r="63" spans="1:32" s="216" customFormat="1" ht="13.5" thickBot="1">
      <c r="A63" s="276"/>
      <c r="B63" s="250"/>
      <c r="C63" s="250"/>
      <c r="D63" s="250"/>
      <c r="E63" s="250"/>
      <c r="F63" s="43"/>
      <c r="G63" s="43"/>
      <c r="H63" s="475"/>
      <c r="I63" s="498"/>
      <c r="J63" s="222"/>
      <c r="K63" s="222"/>
      <c r="L63" s="222"/>
      <c r="M63" s="222"/>
      <c r="N63" s="222"/>
      <c r="O63" s="222"/>
      <c r="P63" s="222"/>
      <c r="Q63" s="222"/>
      <c r="R63" s="222"/>
      <c r="S63" s="222"/>
      <c r="T63" s="222"/>
      <c r="U63" s="222"/>
      <c r="V63" s="222"/>
      <c r="W63" s="222"/>
      <c r="X63" s="222"/>
      <c r="Y63" s="221"/>
      <c r="Z63" s="221"/>
      <c r="AA63" s="221"/>
      <c r="AB63" s="276"/>
      <c r="AC63" s="276"/>
      <c r="AD63" s="276"/>
      <c r="AE63" s="276"/>
      <c r="AF63" s="276"/>
    </row>
    <row r="64" spans="1:32" s="216" customFormat="1" ht="26.25" thickBot="1">
      <c r="A64" s="155"/>
      <c r="B64" s="41" t="s">
        <v>97</v>
      </c>
      <c r="C64" s="108"/>
      <c r="D64" s="109"/>
      <c r="E64" s="109"/>
      <c r="F64" s="109"/>
      <c r="G64" s="109"/>
      <c r="H64" s="492" t="s">
        <v>73</v>
      </c>
      <c r="I64" s="516" t="s">
        <v>93</v>
      </c>
      <c r="J64" s="222"/>
      <c r="K64" s="222"/>
      <c r="L64" s="222"/>
      <c r="M64" s="222"/>
      <c r="N64" s="222"/>
      <c r="O64" s="222"/>
      <c r="P64" s="222"/>
      <c r="Q64" s="222"/>
      <c r="R64" s="222"/>
      <c r="S64" s="222"/>
      <c r="T64" s="222"/>
      <c r="U64" s="222"/>
      <c r="V64" s="222"/>
      <c r="W64" s="222"/>
      <c r="X64" s="222"/>
      <c r="Y64" s="221"/>
      <c r="Z64" s="221"/>
      <c r="AA64" s="221"/>
      <c r="AB64" s="276"/>
      <c r="AC64" s="276"/>
      <c r="AD64" s="276"/>
      <c r="AE64" s="276"/>
      <c r="AF64" s="276"/>
    </row>
    <row r="65" spans="1:32" s="216" customFormat="1" ht="25.5">
      <c r="A65" s="276"/>
      <c r="B65" s="262" t="s">
        <v>113</v>
      </c>
      <c r="C65" s="242"/>
      <c r="D65" s="363" t="s">
        <v>45</v>
      </c>
      <c r="E65" s="359" t="s">
        <v>54</v>
      </c>
      <c r="F65" s="363" t="s">
        <v>47</v>
      </c>
      <c r="G65" s="363"/>
      <c r="H65" s="482" t="s">
        <v>30</v>
      </c>
      <c r="I65" s="504" t="s">
        <v>30</v>
      </c>
      <c r="J65" s="222"/>
      <c r="K65" s="222"/>
      <c r="L65" s="222"/>
      <c r="M65" s="222"/>
      <c r="N65" s="222"/>
      <c r="O65" s="222"/>
      <c r="P65" s="222"/>
      <c r="Q65" s="222"/>
      <c r="R65" s="222"/>
      <c r="S65" s="222"/>
      <c r="T65" s="222"/>
      <c r="U65" s="222"/>
      <c r="V65" s="222"/>
      <c r="W65" s="222"/>
      <c r="X65" s="222"/>
      <c r="Y65" s="221"/>
      <c r="Z65" s="221"/>
      <c r="AA65" s="221"/>
      <c r="AB65" s="276"/>
      <c r="AC65" s="276"/>
      <c r="AD65" s="276"/>
      <c r="AE65" s="276"/>
      <c r="AF65" s="276"/>
    </row>
    <row r="66" spans="1:32" s="216" customFormat="1">
      <c r="A66" s="276"/>
      <c r="B66" s="249" t="str">
        <f>Inputs!B100</f>
        <v>Machinery (Livestock)</v>
      </c>
      <c r="C66" s="242"/>
      <c r="D66" s="365">
        <f>IF(Inputs!F100=0,0,(Inputs!D100-Inputs!E100)/Inputs!F100)</f>
        <v>7500</v>
      </c>
      <c r="E66" s="364">
        <f>Inputs!D100*Inputs!$E$112</f>
        <v>3000</v>
      </c>
      <c r="F66" s="263">
        <f>IF(SUM(D66:E66)=0,0,Inputs!S100)</f>
        <v>0</v>
      </c>
      <c r="G66" s="255"/>
      <c r="H66" s="433">
        <f>(D66+E66)*F66</f>
        <v>0</v>
      </c>
      <c r="I66" s="437" t="str">
        <f t="shared" ref="I66:I75" si="15">IF(B66="","",IF(($C$4+$C$5)=0,"",H66/($C$4+$C$5)))</f>
        <v/>
      </c>
      <c r="J66" s="222"/>
      <c r="K66" s="222"/>
      <c r="L66" s="222"/>
      <c r="M66" s="222"/>
      <c r="N66" s="222"/>
      <c r="O66" s="222"/>
      <c r="P66" s="222"/>
      <c r="Q66" s="222"/>
      <c r="R66" s="222"/>
      <c r="S66" s="222"/>
      <c r="T66" s="222"/>
      <c r="U66" s="222"/>
      <c r="V66" s="222"/>
      <c r="W66" s="222"/>
      <c r="X66" s="222"/>
      <c r="Y66" s="221"/>
      <c r="Z66" s="221"/>
      <c r="AA66" s="221"/>
      <c r="AB66" s="276"/>
      <c r="AC66" s="276"/>
      <c r="AD66" s="276"/>
      <c r="AE66" s="276"/>
      <c r="AF66" s="276"/>
    </row>
    <row r="67" spans="1:32" s="216" customFormat="1">
      <c r="A67" s="276"/>
      <c r="B67" s="249" t="str">
        <f>Inputs!B101</f>
        <v>Vehicles</v>
      </c>
      <c r="C67" s="242"/>
      <c r="D67" s="365">
        <f>IF(Inputs!F101=0,0,(Inputs!D101-Inputs!E101)/Inputs!F101)</f>
        <v>2857.1428571428573</v>
      </c>
      <c r="E67" s="364">
        <f>Inputs!D101*Inputs!$E$112</f>
        <v>900</v>
      </c>
      <c r="F67" s="263">
        <f>IF(SUM(D67:E67)=0,0,Inputs!S101)</f>
        <v>0</v>
      </c>
      <c r="G67" s="255"/>
      <c r="H67" s="433">
        <f t="shared" ref="H67:H73" si="16">(D67+E67)*F67</f>
        <v>0</v>
      </c>
      <c r="I67" s="437" t="str">
        <f t="shared" si="15"/>
        <v/>
      </c>
      <c r="J67" s="222"/>
      <c r="K67" s="222"/>
      <c r="L67" s="222"/>
      <c r="M67" s="222"/>
      <c r="N67" s="222"/>
      <c r="O67" s="222"/>
      <c r="P67" s="222"/>
      <c r="Q67" s="222"/>
      <c r="R67" s="222"/>
      <c r="S67" s="222"/>
      <c r="T67" s="222"/>
      <c r="U67" s="222"/>
      <c r="V67" s="222"/>
      <c r="W67" s="222"/>
      <c r="X67" s="222"/>
      <c r="Y67" s="221"/>
      <c r="Z67" s="221"/>
      <c r="AA67" s="221"/>
      <c r="AB67" s="276"/>
      <c r="AC67" s="276"/>
      <c r="AD67" s="276"/>
      <c r="AE67" s="276"/>
      <c r="AF67" s="276"/>
    </row>
    <row r="68" spans="1:32" s="216" customFormat="1">
      <c r="A68" s="276"/>
      <c r="B68" s="283" t="str">
        <f>Inputs!B102</f>
        <v>Barn</v>
      </c>
      <c r="C68" s="250"/>
      <c r="D68" s="365">
        <f>IF(Inputs!F102=0,0,(Inputs!D102-Inputs!E102)/Inputs!F102)</f>
        <v>1000</v>
      </c>
      <c r="E68" s="364">
        <f>Inputs!D102*Inputs!$E$112</f>
        <v>900</v>
      </c>
      <c r="F68" s="263">
        <f>IF(SUM(D68:E68)=0,0,Inputs!S102)</f>
        <v>0</v>
      </c>
      <c r="G68" s="255"/>
      <c r="H68" s="433">
        <f t="shared" si="16"/>
        <v>0</v>
      </c>
      <c r="I68" s="437" t="str">
        <f t="shared" si="15"/>
        <v/>
      </c>
      <c r="J68" s="222"/>
      <c r="K68" s="222"/>
      <c r="L68" s="222"/>
      <c r="M68" s="222"/>
      <c r="N68" s="222"/>
      <c r="O68" s="222"/>
      <c r="P68" s="222"/>
      <c r="Q68" s="222"/>
      <c r="R68" s="222"/>
      <c r="S68" s="222"/>
      <c r="T68" s="222"/>
      <c r="U68" s="222"/>
      <c r="V68" s="222"/>
      <c r="W68" s="222"/>
      <c r="X68" s="222"/>
      <c r="Y68" s="221"/>
      <c r="Z68" s="221"/>
      <c r="AA68" s="221"/>
      <c r="AB68" s="276"/>
      <c r="AC68" s="276"/>
      <c r="AD68" s="276"/>
      <c r="AE68" s="276"/>
      <c r="AF68" s="276"/>
    </row>
    <row r="69" spans="1:32" s="216" customFormat="1">
      <c r="A69" s="276"/>
      <c r="B69" s="283">
        <f>Inputs!B103</f>
        <v>0</v>
      </c>
      <c r="C69" s="250"/>
      <c r="D69" s="365">
        <f>IF(Inputs!F103=0,0,(Inputs!D103-Inputs!E103)/Inputs!F103)</f>
        <v>0</v>
      </c>
      <c r="E69" s="364">
        <f>Inputs!D103*Inputs!$E$112</f>
        <v>0</v>
      </c>
      <c r="F69" s="263">
        <f>IF(SUM(D69:E69)=0,0,Inputs!S103)</f>
        <v>0</v>
      </c>
      <c r="G69" s="255"/>
      <c r="H69" s="433">
        <f t="shared" si="16"/>
        <v>0</v>
      </c>
      <c r="I69" s="437" t="str">
        <f t="shared" si="15"/>
        <v/>
      </c>
      <c r="J69" s="222"/>
      <c r="K69" s="222"/>
      <c r="L69" s="222"/>
      <c r="M69" s="222"/>
      <c r="N69" s="222"/>
      <c r="O69" s="222"/>
      <c r="P69" s="222"/>
      <c r="Q69" s="222"/>
      <c r="R69" s="222"/>
      <c r="S69" s="222"/>
      <c r="T69" s="222"/>
      <c r="U69" s="222"/>
      <c r="V69" s="222"/>
      <c r="W69" s="222"/>
      <c r="X69" s="222"/>
      <c r="Y69" s="221"/>
      <c r="Z69" s="221"/>
      <c r="AA69" s="221"/>
      <c r="AB69" s="276"/>
      <c r="AC69" s="276"/>
      <c r="AD69" s="276"/>
      <c r="AE69" s="276"/>
      <c r="AF69" s="276"/>
    </row>
    <row r="70" spans="1:32" s="216" customFormat="1" hidden="1">
      <c r="A70" s="276"/>
      <c r="B70" s="283">
        <f>Inputs!B104</f>
        <v>0</v>
      </c>
      <c r="C70" s="250"/>
      <c r="D70" s="365">
        <f>IF(Inputs!F104=0,0,(Inputs!D104-Inputs!E104)/Inputs!F104)</f>
        <v>0</v>
      </c>
      <c r="E70" s="364">
        <f>Inputs!D104*Inputs!$E$112</f>
        <v>0</v>
      </c>
      <c r="F70" s="263">
        <f>IF(SUM(D70:E70)=0,0,Inputs!S104)</f>
        <v>0</v>
      </c>
      <c r="G70" s="255"/>
      <c r="H70" s="433"/>
      <c r="I70" s="437" t="str">
        <f t="shared" si="15"/>
        <v/>
      </c>
      <c r="J70" s="222"/>
      <c r="K70" s="222"/>
      <c r="L70" s="222"/>
      <c r="M70" s="222"/>
      <c r="N70" s="222"/>
      <c r="O70" s="222"/>
      <c r="P70" s="222"/>
      <c r="Q70" s="222"/>
      <c r="R70" s="222"/>
      <c r="S70" s="222"/>
      <c r="T70" s="222"/>
      <c r="U70" s="222"/>
      <c r="V70" s="222"/>
      <c r="W70" s="222"/>
      <c r="X70" s="222"/>
      <c r="Y70" s="221"/>
      <c r="Z70" s="221"/>
      <c r="AA70" s="221"/>
      <c r="AB70" s="276"/>
      <c r="AC70" s="276"/>
      <c r="AD70" s="276"/>
      <c r="AE70" s="276"/>
      <c r="AF70" s="276"/>
    </row>
    <row r="71" spans="1:32" s="216" customFormat="1" hidden="1">
      <c r="A71" s="276"/>
      <c r="B71" s="283">
        <f>Inputs!B105</f>
        <v>0</v>
      </c>
      <c r="C71" s="250"/>
      <c r="D71" s="365">
        <f>IF(Inputs!F105=0,0,(Inputs!D105-Inputs!E105)/Inputs!F105)</f>
        <v>0</v>
      </c>
      <c r="E71" s="364">
        <f>Inputs!D105*Inputs!$E$112</f>
        <v>0</v>
      </c>
      <c r="F71" s="263">
        <f>IF(SUM(D71:E71)=0,0,Inputs!S105)</f>
        <v>0</v>
      </c>
      <c r="G71" s="255"/>
      <c r="H71" s="433"/>
      <c r="I71" s="437" t="str">
        <f t="shared" si="15"/>
        <v/>
      </c>
      <c r="J71" s="222"/>
      <c r="K71" s="222"/>
      <c r="L71" s="222"/>
      <c r="M71" s="222"/>
      <c r="N71" s="222"/>
      <c r="O71" s="222"/>
      <c r="P71" s="222"/>
      <c r="Q71" s="222"/>
      <c r="R71" s="222"/>
      <c r="S71" s="222"/>
      <c r="T71" s="222"/>
      <c r="U71" s="222"/>
      <c r="V71" s="222"/>
      <c r="W71" s="222"/>
      <c r="X71" s="222"/>
      <c r="Y71" s="221"/>
      <c r="Z71" s="221"/>
      <c r="AA71" s="221"/>
      <c r="AB71" s="276"/>
      <c r="AC71" s="276"/>
      <c r="AD71" s="276"/>
      <c r="AE71" s="276"/>
      <c r="AF71" s="276"/>
    </row>
    <row r="72" spans="1:32" s="216" customFormat="1" hidden="1">
      <c r="A72" s="276"/>
      <c r="B72" s="283">
        <f>Inputs!B106</f>
        <v>0</v>
      </c>
      <c r="C72" s="250"/>
      <c r="D72" s="365">
        <f>IF(Inputs!F106=0,0,(Inputs!D106-Inputs!E106)/Inputs!F106)</f>
        <v>0</v>
      </c>
      <c r="E72" s="364">
        <f>Inputs!D106*Inputs!$E$112</f>
        <v>0</v>
      </c>
      <c r="F72" s="263">
        <f>IF(SUM(D72:E72)=0,0,Inputs!S106)</f>
        <v>0</v>
      </c>
      <c r="G72" s="255"/>
      <c r="H72" s="433">
        <f t="shared" si="16"/>
        <v>0</v>
      </c>
      <c r="I72" s="437" t="str">
        <f t="shared" si="15"/>
        <v/>
      </c>
      <c r="J72" s="222"/>
      <c r="K72" s="222"/>
      <c r="L72" s="222"/>
      <c r="M72" s="222"/>
      <c r="N72" s="222"/>
      <c r="O72" s="222"/>
      <c r="P72" s="222"/>
      <c r="Q72" s="222"/>
      <c r="R72" s="222"/>
      <c r="S72" s="222"/>
      <c r="T72" s="222"/>
      <c r="U72" s="222"/>
      <c r="V72" s="222"/>
      <c r="W72" s="222"/>
      <c r="X72" s="222"/>
      <c r="Y72" s="221"/>
      <c r="Z72" s="221"/>
      <c r="AA72" s="221"/>
      <c r="AB72" s="276"/>
      <c r="AC72" s="276"/>
      <c r="AD72" s="276"/>
      <c r="AE72" s="276"/>
      <c r="AF72" s="276"/>
    </row>
    <row r="73" spans="1:32" s="216" customFormat="1" hidden="1">
      <c r="A73" s="276"/>
      <c r="B73" s="283">
        <f>Inputs!B107</f>
        <v>0</v>
      </c>
      <c r="C73" s="250"/>
      <c r="D73" s="365">
        <f>IF(Inputs!F107=0,0,(Inputs!D107-Inputs!E107)/Inputs!F107)</f>
        <v>0</v>
      </c>
      <c r="E73" s="364">
        <f>Inputs!D107*Inputs!$E$112</f>
        <v>0</v>
      </c>
      <c r="F73" s="263">
        <f>IF(SUM(D73:E73)=0,0,Inputs!S107)</f>
        <v>0</v>
      </c>
      <c r="G73" s="255"/>
      <c r="H73" s="433">
        <f t="shared" si="16"/>
        <v>0</v>
      </c>
      <c r="I73" s="437" t="str">
        <f t="shared" si="15"/>
        <v/>
      </c>
      <c r="J73" s="222"/>
      <c r="K73" s="222"/>
      <c r="L73" s="222"/>
      <c r="M73" s="222"/>
      <c r="N73" s="222"/>
      <c r="O73" s="222"/>
      <c r="P73" s="222"/>
      <c r="Q73" s="222"/>
      <c r="R73" s="222"/>
      <c r="S73" s="222"/>
      <c r="T73" s="222"/>
      <c r="U73" s="222"/>
      <c r="V73" s="222"/>
      <c r="W73" s="222"/>
      <c r="X73" s="222"/>
      <c r="Y73" s="221"/>
      <c r="Z73" s="221"/>
      <c r="AA73" s="221"/>
      <c r="AB73" s="276"/>
      <c r="AC73" s="276"/>
      <c r="AD73" s="276"/>
      <c r="AE73" s="276"/>
      <c r="AF73" s="276"/>
    </row>
    <row r="74" spans="1:32" s="216" customFormat="1" hidden="1">
      <c r="A74" s="276"/>
      <c r="B74" s="283">
        <f>Inputs!B108</f>
        <v>0</v>
      </c>
      <c r="C74" s="250"/>
      <c r="D74" s="365">
        <f>IF(Inputs!F108=0,0,(Inputs!D108-Inputs!E108)/Inputs!F108)</f>
        <v>0</v>
      </c>
      <c r="E74" s="364">
        <f>Inputs!D108*Inputs!$E$112</f>
        <v>0</v>
      </c>
      <c r="F74" s="263">
        <f>IF(SUM(D74:E74)=0,0,Inputs!S108)</f>
        <v>0</v>
      </c>
      <c r="G74" s="255"/>
      <c r="H74" s="433"/>
      <c r="I74" s="437" t="str">
        <f t="shared" si="15"/>
        <v/>
      </c>
      <c r="J74" s="222"/>
      <c r="K74" s="222"/>
      <c r="L74" s="222"/>
      <c r="M74" s="222"/>
      <c r="N74" s="222"/>
      <c r="O74" s="222"/>
      <c r="P74" s="222"/>
      <c r="Q74" s="222"/>
      <c r="R74" s="222"/>
      <c r="S74" s="222"/>
      <c r="T74" s="222"/>
      <c r="U74" s="222"/>
      <c r="V74" s="222"/>
      <c r="W74" s="222"/>
      <c r="X74" s="222"/>
      <c r="Y74" s="221"/>
      <c r="Z74" s="221"/>
      <c r="AA74" s="221"/>
      <c r="AB74" s="276"/>
      <c r="AC74" s="276"/>
      <c r="AD74" s="276"/>
      <c r="AE74" s="276"/>
      <c r="AF74" s="276"/>
    </row>
    <row r="75" spans="1:32" s="216" customFormat="1" ht="13.5" thickBot="1">
      <c r="A75" s="276"/>
      <c r="B75" s="239" t="s">
        <v>99</v>
      </c>
      <c r="C75" s="250"/>
      <c r="D75" s="365"/>
      <c r="E75" s="365">
        <f>Inputs!E116*Inputs!E112</f>
        <v>0</v>
      </c>
      <c r="F75" s="371">
        <f>IF(E75=0,0,Inputs!S116)</f>
        <v>0</v>
      </c>
      <c r="G75" s="255"/>
      <c r="H75" s="433">
        <f>E75*F75</f>
        <v>0</v>
      </c>
      <c r="I75" s="437" t="str">
        <f t="shared" si="15"/>
        <v/>
      </c>
      <c r="J75" s="222"/>
      <c r="K75" s="222"/>
      <c r="L75" s="222"/>
      <c r="M75" s="222"/>
      <c r="N75" s="222"/>
      <c r="O75" s="222"/>
      <c r="P75" s="222"/>
      <c r="Q75" s="222"/>
      <c r="R75" s="222"/>
      <c r="S75" s="222"/>
      <c r="T75" s="222"/>
      <c r="U75" s="222"/>
      <c r="V75" s="222"/>
      <c r="W75" s="222"/>
      <c r="X75" s="222"/>
      <c r="Y75" s="221"/>
      <c r="Z75" s="221"/>
      <c r="AA75" s="221"/>
      <c r="AB75" s="276"/>
      <c r="AC75" s="276"/>
      <c r="AD75" s="276"/>
      <c r="AE75" s="276"/>
      <c r="AF75" s="276"/>
    </row>
    <row r="76" spans="1:32" s="216" customFormat="1" ht="13.5" thickBot="1">
      <c r="A76" s="276"/>
      <c r="B76" s="99">
        <v>217480.06701030929</v>
      </c>
      <c r="C76" s="96"/>
      <c r="D76" s="42"/>
      <c r="E76" s="42"/>
      <c r="F76" s="42"/>
      <c r="G76" s="21" t="s">
        <v>105</v>
      </c>
      <c r="H76" s="493">
        <f>SUM(H66:H75)</f>
        <v>0</v>
      </c>
      <c r="I76" s="517">
        <f>SUM(I66:I75)</f>
        <v>0</v>
      </c>
      <c r="J76" s="222"/>
      <c r="K76" s="222"/>
      <c r="L76" s="222"/>
      <c r="M76" s="222"/>
      <c r="N76" s="222"/>
      <c r="O76" s="222"/>
      <c r="P76" s="222"/>
      <c r="Q76" s="222"/>
      <c r="R76" s="222"/>
      <c r="S76" s="222"/>
      <c r="T76" s="222"/>
      <c r="U76" s="222"/>
      <c r="V76" s="222"/>
      <c r="W76" s="222"/>
      <c r="X76" s="222"/>
      <c r="Y76" s="221"/>
      <c r="Z76" s="221"/>
      <c r="AA76" s="221"/>
      <c r="AB76" s="276"/>
      <c r="AC76" s="276"/>
      <c r="AD76" s="276"/>
      <c r="AE76" s="276"/>
      <c r="AF76" s="276"/>
    </row>
    <row r="77" spans="1:32" s="216" customFormat="1" ht="13.5" thickBot="1">
      <c r="A77" s="276"/>
      <c r="B77" s="43"/>
      <c r="C77" s="43"/>
      <c r="D77" s="43"/>
      <c r="E77" s="43"/>
      <c r="F77" s="43"/>
      <c r="G77" s="43"/>
      <c r="H77" s="475"/>
      <c r="I77" s="498"/>
      <c r="J77" s="222"/>
      <c r="K77" s="222"/>
      <c r="L77" s="222"/>
      <c r="M77" s="222"/>
      <c r="N77" s="222"/>
      <c r="O77" s="222"/>
      <c r="P77" s="222"/>
      <c r="Q77" s="222"/>
      <c r="R77" s="222"/>
      <c r="S77" s="222"/>
      <c r="T77" s="222"/>
      <c r="U77" s="222"/>
      <c r="V77" s="222"/>
      <c r="W77" s="222"/>
      <c r="X77" s="222"/>
      <c r="Y77" s="221"/>
      <c r="Z77" s="221"/>
      <c r="AA77" s="221"/>
      <c r="AB77" s="276"/>
      <c r="AC77" s="276"/>
      <c r="AD77" s="276"/>
      <c r="AE77" s="276"/>
      <c r="AF77" s="276"/>
    </row>
    <row r="78" spans="1:32" s="216" customFormat="1" ht="25.5">
      <c r="A78" s="276"/>
      <c r="B78" s="142" t="s">
        <v>107</v>
      </c>
      <c r="C78" s="139"/>
      <c r="D78" s="143"/>
      <c r="E78" s="143"/>
      <c r="F78" s="143"/>
      <c r="G78" s="144"/>
      <c r="H78" s="494" t="s">
        <v>73</v>
      </c>
      <c r="I78" s="518" t="s">
        <v>93</v>
      </c>
      <c r="J78" s="222"/>
      <c r="K78" s="222"/>
      <c r="L78" s="222"/>
      <c r="M78" s="222"/>
      <c r="N78" s="222"/>
      <c r="O78" s="222"/>
      <c r="P78" s="222"/>
      <c r="Q78" s="222"/>
      <c r="R78" s="222"/>
      <c r="S78" s="222"/>
      <c r="T78" s="222"/>
      <c r="U78" s="222"/>
      <c r="V78" s="222"/>
      <c r="W78" s="222"/>
      <c r="X78" s="222"/>
      <c r="Y78" s="221"/>
      <c r="Z78" s="221"/>
      <c r="AA78" s="221"/>
      <c r="AB78" s="276"/>
      <c r="AC78" s="276"/>
      <c r="AD78" s="276"/>
      <c r="AE78" s="276"/>
      <c r="AF78" s="276"/>
    </row>
    <row r="79" spans="1:32" s="216" customFormat="1" ht="13.5" thickBot="1">
      <c r="A79" s="276"/>
      <c r="B79" s="140"/>
      <c r="C79" s="141"/>
      <c r="D79" s="280"/>
      <c r="E79" s="280"/>
      <c r="F79" s="280"/>
      <c r="G79" s="246" t="s">
        <v>70</v>
      </c>
      <c r="H79" s="493">
        <f>H60+H76</f>
        <v>0</v>
      </c>
      <c r="I79" s="519">
        <f>I60+I76</f>
        <v>0</v>
      </c>
      <c r="J79" s="222"/>
      <c r="K79" s="222"/>
      <c r="L79" s="222"/>
      <c r="M79" s="222"/>
      <c r="N79" s="222"/>
      <c r="O79" s="222"/>
      <c r="P79" s="222"/>
      <c r="Q79" s="222"/>
      <c r="R79" s="222"/>
      <c r="S79" s="222"/>
      <c r="T79" s="222"/>
      <c r="U79" s="222"/>
      <c r="V79" s="222"/>
      <c r="W79" s="222"/>
      <c r="X79" s="222"/>
      <c r="Y79" s="221"/>
      <c r="Z79" s="221"/>
      <c r="AA79" s="221"/>
      <c r="AB79" s="276"/>
      <c r="AC79" s="276"/>
      <c r="AD79" s="276"/>
      <c r="AE79" s="276"/>
      <c r="AF79" s="276"/>
    </row>
    <row r="80" spans="1:32" s="216" customFormat="1" ht="13.5" thickBot="1">
      <c r="A80" s="276"/>
      <c r="B80" s="138"/>
      <c r="C80" s="105"/>
      <c r="D80" s="105"/>
      <c r="E80" s="105"/>
      <c r="F80" s="105"/>
      <c r="G80" s="105"/>
      <c r="H80" s="495"/>
      <c r="I80" s="520"/>
      <c r="J80" s="222"/>
      <c r="K80" s="222"/>
      <c r="L80" s="222"/>
      <c r="M80" s="222"/>
      <c r="N80" s="222"/>
      <c r="O80" s="222"/>
      <c r="P80" s="222"/>
      <c r="Q80" s="222"/>
      <c r="R80" s="222"/>
      <c r="S80" s="222"/>
      <c r="T80" s="222"/>
      <c r="U80" s="222"/>
      <c r="V80" s="222"/>
      <c r="W80" s="222"/>
      <c r="X80" s="222"/>
      <c r="Y80" s="221"/>
      <c r="Z80" s="221"/>
      <c r="AA80" s="221"/>
      <c r="AB80" s="276"/>
      <c r="AC80" s="276"/>
      <c r="AD80" s="276"/>
      <c r="AE80" s="276"/>
      <c r="AF80" s="276"/>
    </row>
    <row r="81" spans="1:32" s="216" customFormat="1" ht="13.5" thickBot="1">
      <c r="A81" s="276"/>
      <c r="B81" s="98"/>
      <c r="C81" s="96"/>
      <c r="D81" s="67"/>
      <c r="E81" s="67"/>
      <c r="F81" s="67"/>
      <c r="G81" s="21" t="s">
        <v>106</v>
      </c>
      <c r="H81" s="484">
        <f>H7-H79</f>
        <v>0</v>
      </c>
      <c r="I81" s="521">
        <f>I7-I79</f>
        <v>0</v>
      </c>
      <c r="J81" s="222"/>
      <c r="K81" s="222"/>
      <c r="L81" s="222"/>
      <c r="M81" s="222"/>
      <c r="N81" s="222"/>
      <c r="O81" s="222"/>
      <c r="P81" s="222"/>
      <c r="Q81" s="222"/>
      <c r="R81" s="222"/>
      <c r="S81" s="222"/>
      <c r="T81" s="222"/>
      <c r="U81" s="222"/>
      <c r="V81" s="222"/>
      <c r="W81" s="222"/>
      <c r="X81" s="222"/>
      <c r="Y81" s="221"/>
      <c r="Z81" s="221"/>
      <c r="AA81" s="221"/>
      <c r="AB81" s="276"/>
      <c r="AC81" s="276"/>
      <c r="AD81" s="276"/>
      <c r="AE81" s="276"/>
      <c r="AF81" s="276"/>
    </row>
    <row r="82" spans="1:32" s="216" customFormat="1">
      <c r="A82" s="276"/>
      <c r="B82" s="276"/>
      <c r="C82" s="276"/>
      <c r="D82" s="276"/>
      <c r="E82" s="276"/>
      <c r="F82" s="276"/>
      <c r="G82" s="276"/>
      <c r="H82" s="276"/>
      <c r="I82" s="276"/>
      <c r="J82" s="222"/>
      <c r="K82" s="222"/>
      <c r="L82" s="222"/>
      <c r="M82" s="222"/>
      <c r="N82" s="222"/>
      <c r="O82" s="222"/>
      <c r="P82" s="222"/>
      <c r="Q82" s="222"/>
      <c r="R82" s="222"/>
      <c r="S82" s="222"/>
      <c r="T82" s="222"/>
      <c r="U82" s="222"/>
      <c r="V82" s="222"/>
      <c r="W82" s="222"/>
      <c r="X82" s="222"/>
      <c r="Y82" s="221"/>
      <c r="Z82" s="221"/>
      <c r="AA82" s="221"/>
      <c r="AB82" s="276"/>
      <c r="AC82" s="276"/>
      <c r="AD82" s="276"/>
      <c r="AE82" s="276"/>
      <c r="AF82" s="276"/>
    </row>
    <row r="83" spans="1:32" s="216" customFormat="1">
      <c r="A83" s="276"/>
      <c r="B83" s="276"/>
      <c r="C83" s="276"/>
      <c r="D83" s="276"/>
      <c r="E83" s="276"/>
      <c r="F83" s="276"/>
      <c r="G83" s="276"/>
      <c r="H83" s="276"/>
      <c r="I83" s="276"/>
      <c r="J83" s="222"/>
      <c r="K83" s="222"/>
      <c r="L83" s="222"/>
      <c r="M83" s="222"/>
      <c r="N83" s="222"/>
      <c r="O83" s="222"/>
      <c r="P83" s="222"/>
      <c r="Q83" s="222"/>
      <c r="R83" s="222"/>
      <c r="S83" s="222"/>
      <c r="T83" s="222"/>
      <c r="U83" s="222"/>
      <c r="V83" s="222"/>
      <c r="W83" s="222"/>
      <c r="X83" s="222"/>
      <c r="Y83" s="221"/>
      <c r="Z83" s="221"/>
      <c r="AA83" s="221"/>
      <c r="AB83" s="276"/>
      <c r="AC83" s="276"/>
      <c r="AD83" s="276"/>
      <c r="AE83" s="276"/>
      <c r="AF83" s="276"/>
    </row>
    <row r="84" spans="1:32" s="216" customFormat="1">
      <c r="A84" s="276"/>
      <c r="B84" s="276"/>
      <c r="C84" s="276"/>
      <c r="D84" s="276"/>
      <c r="E84" s="276"/>
      <c r="F84" s="276"/>
      <c r="G84" s="276"/>
      <c r="H84" s="276"/>
      <c r="I84" s="276"/>
      <c r="J84" s="222"/>
      <c r="K84" s="222"/>
      <c r="L84" s="222"/>
      <c r="M84" s="222"/>
      <c r="N84" s="222"/>
      <c r="O84" s="222"/>
      <c r="P84" s="222"/>
      <c r="Q84" s="222"/>
      <c r="R84" s="222"/>
      <c r="S84" s="222"/>
      <c r="T84" s="222"/>
      <c r="U84" s="222"/>
      <c r="V84" s="222"/>
      <c r="W84" s="222"/>
      <c r="X84" s="222"/>
      <c r="Y84" s="221"/>
      <c r="Z84" s="221"/>
      <c r="AA84" s="221"/>
      <c r="AB84" s="276"/>
      <c r="AC84" s="276"/>
      <c r="AD84" s="276"/>
      <c r="AE84" s="276"/>
      <c r="AF84" s="276"/>
    </row>
    <row r="85" spans="1:32" s="216" customFormat="1">
      <c r="A85" s="276"/>
      <c r="B85" s="276"/>
      <c r="C85" s="276"/>
      <c r="D85" s="276"/>
      <c r="E85" s="276"/>
      <c r="F85" s="276"/>
      <c r="G85" s="276"/>
      <c r="H85" s="276"/>
      <c r="I85" s="276"/>
      <c r="J85" s="222"/>
      <c r="K85" s="222"/>
      <c r="L85" s="222"/>
      <c r="M85" s="222"/>
      <c r="N85" s="222"/>
      <c r="O85" s="222"/>
      <c r="P85" s="222"/>
      <c r="Q85" s="222"/>
      <c r="R85" s="222"/>
      <c r="S85" s="222"/>
      <c r="T85" s="222"/>
      <c r="U85" s="222"/>
      <c r="V85" s="222"/>
      <c r="W85" s="222"/>
      <c r="X85" s="222"/>
      <c r="Y85" s="221"/>
      <c r="Z85" s="221"/>
      <c r="AA85" s="221"/>
      <c r="AB85" s="276"/>
      <c r="AC85" s="276"/>
      <c r="AD85" s="276"/>
      <c r="AE85" s="276"/>
      <c r="AF85" s="276"/>
    </row>
    <row r="86" spans="1:32" s="216" customFormat="1">
      <c r="A86" s="276"/>
      <c r="B86" s="276"/>
      <c r="C86" s="276"/>
      <c r="D86" s="276"/>
      <c r="E86" s="276"/>
      <c r="F86" s="276"/>
      <c r="G86" s="276"/>
      <c r="H86" s="276"/>
      <c r="I86" s="276"/>
      <c r="J86" s="222"/>
      <c r="K86" s="222"/>
      <c r="L86" s="222"/>
      <c r="M86" s="222"/>
      <c r="N86" s="222"/>
      <c r="O86" s="222"/>
      <c r="P86" s="222"/>
      <c r="Q86" s="222"/>
      <c r="R86" s="222"/>
      <c r="S86" s="222"/>
      <c r="T86" s="222"/>
      <c r="U86" s="222"/>
      <c r="V86" s="222"/>
      <c r="W86" s="222"/>
      <c r="X86" s="222"/>
      <c r="Y86" s="221"/>
      <c r="Z86" s="221"/>
      <c r="AA86" s="221"/>
      <c r="AB86" s="276"/>
      <c r="AC86" s="276"/>
      <c r="AD86" s="276"/>
      <c r="AE86" s="276"/>
      <c r="AF86" s="276"/>
    </row>
    <row r="87" spans="1:32" s="216" customFormat="1">
      <c r="A87" s="276"/>
      <c r="B87" s="276"/>
      <c r="C87" s="276"/>
      <c r="D87" s="276"/>
      <c r="E87" s="276"/>
      <c r="F87" s="276"/>
      <c r="G87" s="276"/>
      <c r="H87" s="276"/>
      <c r="I87" s="276"/>
      <c r="J87" s="222"/>
      <c r="K87" s="222"/>
      <c r="L87" s="222"/>
      <c r="M87" s="222"/>
      <c r="N87" s="222"/>
      <c r="O87" s="222"/>
      <c r="P87" s="222"/>
      <c r="Q87" s="222"/>
      <c r="R87" s="222"/>
      <c r="S87" s="222"/>
      <c r="T87" s="222"/>
      <c r="U87" s="222"/>
      <c r="V87" s="222"/>
      <c r="W87" s="222"/>
      <c r="X87" s="222"/>
      <c r="Y87" s="221"/>
      <c r="Z87" s="221"/>
      <c r="AA87" s="221"/>
      <c r="AB87" s="276"/>
      <c r="AC87" s="276"/>
      <c r="AD87" s="276"/>
      <c r="AE87" s="276"/>
      <c r="AF87" s="276"/>
    </row>
    <row r="88" spans="1:32" s="216" customFormat="1">
      <c r="A88" s="276"/>
      <c r="B88" s="276"/>
      <c r="C88" s="276"/>
      <c r="D88" s="276"/>
      <c r="E88" s="276"/>
      <c r="F88" s="276"/>
      <c r="G88" s="276"/>
      <c r="H88" s="276"/>
      <c r="I88" s="276"/>
      <c r="J88" s="222"/>
      <c r="K88" s="222"/>
      <c r="L88" s="222"/>
      <c r="M88" s="222"/>
      <c r="N88" s="222"/>
      <c r="O88" s="222"/>
      <c r="P88" s="222"/>
      <c r="Q88" s="222"/>
      <c r="R88" s="222"/>
      <c r="S88" s="222"/>
      <c r="T88" s="222"/>
      <c r="U88" s="222"/>
      <c r="V88" s="222"/>
      <c r="W88" s="222"/>
      <c r="X88" s="222"/>
      <c r="Y88" s="221"/>
      <c r="Z88" s="221"/>
      <c r="AA88" s="221"/>
      <c r="AB88" s="276"/>
      <c r="AC88" s="276"/>
      <c r="AD88" s="276"/>
      <c r="AE88" s="276"/>
      <c r="AF88" s="276"/>
    </row>
    <row r="89" spans="1:32" s="216" customFormat="1">
      <c r="A89" s="276"/>
      <c r="B89" s="276"/>
      <c r="C89" s="276"/>
      <c r="D89" s="276"/>
      <c r="E89" s="276"/>
      <c r="F89" s="276"/>
      <c r="G89" s="276"/>
      <c r="H89" s="276"/>
      <c r="I89" s="276"/>
      <c r="J89" s="222"/>
      <c r="K89" s="222"/>
      <c r="L89" s="222"/>
      <c r="M89" s="222"/>
      <c r="N89" s="222"/>
      <c r="O89" s="222"/>
      <c r="P89" s="222"/>
      <c r="Q89" s="222"/>
      <c r="R89" s="222"/>
      <c r="S89" s="222"/>
      <c r="T89" s="222"/>
      <c r="U89" s="222"/>
      <c r="V89" s="222"/>
      <c r="W89" s="222"/>
      <c r="X89" s="222"/>
      <c r="Y89" s="221"/>
      <c r="Z89" s="221"/>
      <c r="AA89" s="221"/>
      <c r="AB89" s="276"/>
      <c r="AC89" s="276"/>
      <c r="AD89" s="276"/>
      <c r="AE89" s="276"/>
      <c r="AF89" s="276"/>
    </row>
    <row r="90" spans="1:32" s="216" customFormat="1">
      <c r="A90" s="276"/>
      <c r="B90" s="276"/>
      <c r="C90" s="276"/>
      <c r="D90" s="276"/>
      <c r="E90" s="276"/>
      <c r="F90" s="276"/>
      <c r="G90" s="276"/>
      <c r="H90" s="276"/>
      <c r="I90" s="276"/>
      <c r="J90" s="222"/>
      <c r="K90" s="222"/>
      <c r="L90" s="222"/>
      <c r="M90" s="222"/>
      <c r="N90" s="222"/>
      <c r="O90" s="222"/>
      <c r="P90" s="222"/>
      <c r="Q90" s="222"/>
      <c r="R90" s="222"/>
      <c r="S90" s="222"/>
      <c r="T90" s="222"/>
      <c r="U90" s="222"/>
      <c r="V90" s="222"/>
      <c r="W90" s="222"/>
      <c r="X90" s="222"/>
      <c r="Y90" s="221"/>
      <c r="Z90" s="221"/>
      <c r="AA90" s="221"/>
      <c r="AB90" s="276"/>
      <c r="AC90" s="276"/>
      <c r="AD90" s="276"/>
      <c r="AE90" s="276"/>
      <c r="AF90" s="276"/>
    </row>
    <row r="91" spans="1:32" s="216" customFormat="1">
      <c r="A91" s="276"/>
      <c r="B91" s="276"/>
      <c r="C91" s="276"/>
      <c r="D91" s="276"/>
      <c r="E91" s="276"/>
      <c r="F91" s="276"/>
      <c r="G91" s="276"/>
      <c r="H91" s="276"/>
      <c r="I91" s="276"/>
      <c r="J91" s="222"/>
      <c r="K91" s="222"/>
      <c r="L91" s="222"/>
      <c r="M91" s="222"/>
      <c r="N91" s="222"/>
      <c r="O91" s="222"/>
      <c r="P91" s="222"/>
      <c r="Q91" s="222"/>
      <c r="R91" s="222"/>
      <c r="S91" s="222"/>
      <c r="T91" s="222"/>
      <c r="U91" s="222"/>
      <c r="V91" s="222"/>
      <c r="W91" s="222"/>
      <c r="X91" s="222"/>
      <c r="Y91" s="221"/>
      <c r="Z91" s="221"/>
      <c r="AA91" s="221"/>
      <c r="AB91" s="276"/>
      <c r="AC91" s="276"/>
      <c r="AD91" s="276"/>
      <c r="AE91" s="276"/>
      <c r="AF91" s="276"/>
    </row>
    <row r="92" spans="1:32" s="216" customFormat="1">
      <c r="A92" s="276"/>
      <c r="B92" s="276"/>
      <c r="C92" s="276"/>
      <c r="D92" s="276"/>
      <c r="E92" s="276"/>
      <c r="F92" s="276"/>
      <c r="G92" s="276"/>
      <c r="H92" s="276"/>
      <c r="I92" s="276"/>
      <c r="J92" s="222"/>
      <c r="K92" s="222"/>
      <c r="L92" s="222"/>
      <c r="M92" s="222"/>
      <c r="N92" s="222"/>
      <c r="O92" s="222"/>
      <c r="P92" s="222"/>
      <c r="Q92" s="222"/>
      <c r="R92" s="222"/>
      <c r="S92" s="222"/>
      <c r="T92" s="222"/>
      <c r="U92" s="222"/>
      <c r="V92" s="222"/>
      <c r="W92" s="222"/>
      <c r="X92" s="222"/>
      <c r="Y92" s="221"/>
      <c r="Z92" s="221"/>
      <c r="AA92" s="221"/>
      <c r="AB92" s="276"/>
      <c r="AC92" s="276"/>
      <c r="AD92" s="276"/>
      <c r="AE92" s="276"/>
      <c r="AF92" s="276"/>
    </row>
    <row r="93" spans="1:32" s="216" customFormat="1">
      <c r="A93" s="276"/>
      <c r="B93" s="276"/>
      <c r="C93" s="276"/>
      <c r="D93" s="276"/>
      <c r="E93" s="276"/>
      <c r="F93" s="276"/>
      <c r="G93" s="276"/>
      <c r="H93" s="276"/>
      <c r="I93" s="276"/>
      <c r="J93" s="222"/>
      <c r="K93" s="222"/>
      <c r="L93" s="222"/>
      <c r="M93" s="222"/>
      <c r="N93" s="222"/>
      <c r="O93" s="222"/>
      <c r="P93" s="222"/>
      <c r="Q93" s="222"/>
      <c r="R93" s="222"/>
      <c r="S93" s="222"/>
      <c r="T93" s="222"/>
      <c r="U93" s="222"/>
      <c r="V93" s="222"/>
      <c r="W93" s="222"/>
      <c r="X93" s="222"/>
      <c r="Y93" s="221"/>
      <c r="Z93" s="221"/>
      <c r="AA93" s="221"/>
      <c r="AB93" s="276"/>
      <c r="AC93" s="276"/>
      <c r="AD93" s="276"/>
      <c r="AE93" s="276"/>
      <c r="AF93" s="276"/>
    </row>
    <row r="94" spans="1:32" s="216" customFormat="1">
      <c r="A94" s="276"/>
      <c r="B94" s="276"/>
      <c r="C94" s="276"/>
      <c r="D94" s="276"/>
      <c r="E94" s="276"/>
      <c r="F94" s="276"/>
      <c r="G94" s="276"/>
      <c r="H94" s="276"/>
      <c r="I94" s="276"/>
      <c r="J94" s="222"/>
      <c r="K94" s="222"/>
      <c r="L94" s="222"/>
      <c r="M94" s="222"/>
      <c r="N94" s="222"/>
      <c r="O94" s="222"/>
      <c r="P94" s="222"/>
      <c r="Q94" s="222"/>
      <c r="R94" s="222"/>
      <c r="S94" s="222"/>
      <c r="T94" s="222"/>
      <c r="U94" s="222"/>
      <c r="V94" s="222"/>
      <c r="W94" s="222"/>
      <c r="X94" s="222"/>
      <c r="Y94" s="221"/>
      <c r="Z94" s="221"/>
      <c r="AA94" s="221"/>
      <c r="AB94" s="276"/>
      <c r="AC94" s="276"/>
      <c r="AD94" s="276"/>
      <c r="AE94" s="276"/>
      <c r="AF94" s="276"/>
    </row>
    <row r="95" spans="1:32" s="216" customFormat="1">
      <c r="A95" s="276"/>
      <c r="B95" s="276"/>
      <c r="C95" s="276"/>
      <c r="D95" s="276"/>
      <c r="E95" s="276"/>
      <c r="F95" s="276"/>
      <c r="G95" s="276"/>
      <c r="H95" s="276"/>
      <c r="I95" s="276"/>
      <c r="J95" s="222"/>
      <c r="K95" s="222"/>
      <c r="L95" s="222"/>
      <c r="M95" s="222"/>
      <c r="N95" s="222"/>
      <c r="O95" s="222"/>
      <c r="P95" s="222"/>
      <c r="Q95" s="222"/>
      <c r="R95" s="222"/>
      <c r="S95" s="222"/>
      <c r="T95" s="222"/>
      <c r="U95" s="222"/>
      <c r="V95" s="222"/>
      <c r="W95" s="222"/>
      <c r="X95" s="222"/>
      <c r="Y95" s="221"/>
      <c r="Z95" s="221"/>
      <c r="AA95" s="221"/>
      <c r="AB95" s="276"/>
      <c r="AC95" s="276"/>
      <c r="AD95" s="276"/>
      <c r="AE95" s="276"/>
      <c r="AF95" s="276"/>
    </row>
    <row r="96" spans="1:32" s="216" customFormat="1">
      <c r="A96" s="276"/>
      <c r="B96" s="276"/>
      <c r="C96" s="276"/>
      <c r="D96" s="276"/>
      <c r="E96" s="276"/>
      <c r="F96" s="276"/>
      <c r="G96" s="276"/>
      <c r="H96" s="276"/>
      <c r="I96" s="276"/>
      <c r="J96" s="222"/>
      <c r="K96" s="222"/>
      <c r="L96" s="222"/>
      <c r="M96" s="222"/>
      <c r="N96" s="222"/>
      <c r="O96" s="222"/>
      <c r="P96" s="222"/>
      <c r="Q96" s="222"/>
      <c r="R96" s="222"/>
      <c r="S96" s="222"/>
      <c r="T96" s="222"/>
      <c r="U96" s="222"/>
      <c r="V96" s="222"/>
      <c r="W96" s="222"/>
      <c r="X96" s="222"/>
      <c r="Y96" s="221"/>
      <c r="Z96" s="221"/>
      <c r="AA96" s="221"/>
      <c r="AB96" s="276"/>
      <c r="AC96" s="276"/>
      <c r="AD96" s="276"/>
      <c r="AE96" s="276"/>
      <c r="AF96" s="276"/>
    </row>
    <row r="97" spans="1:32" s="216" customFormat="1">
      <c r="A97" s="276"/>
      <c r="B97" s="276"/>
      <c r="C97" s="276"/>
      <c r="D97" s="276"/>
      <c r="E97" s="276"/>
      <c r="F97" s="276"/>
      <c r="G97" s="276"/>
      <c r="H97" s="276"/>
      <c r="I97" s="276"/>
      <c r="J97" s="222"/>
      <c r="K97" s="222"/>
      <c r="L97" s="222"/>
      <c r="M97" s="222"/>
      <c r="N97" s="222"/>
      <c r="O97" s="222"/>
      <c r="P97" s="222"/>
      <c r="Q97" s="222"/>
      <c r="R97" s="222"/>
      <c r="S97" s="222"/>
      <c r="T97" s="222"/>
      <c r="U97" s="222"/>
      <c r="V97" s="222"/>
      <c r="W97" s="222"/>
      <c r="X97" s="222"/>
      <c r="Y97" s="221"/>
      <c r="Z97" s="221"/>
      <c r="AA97" s="221"/>
      <c r="AB97" s="276"/>
      <c r="AC97" s="276"/>
      <c r="AD97" s="276"/>
      <c r="AE97" s="276"/>
      <c r="AF97" s="276"/>
    </row>
    <row r="98" spans="1:32" s="216" customFormat="1">
      <c r="A98" s="276"/>
      <c r="B98" s="276"/>
      <c r="C98" s="276"/>
      <c r="D98" s="276"/>
      <c r="E98" s="276"/>
      <c r="F98" s="276"/>
      <c r="G98" s="276"/>
      <c r="H98" s="276"/>
      <c r="I98" s="276"/>
      <c r="J98" s="222"/>
      <c r="K98" s="222"/>
      <c r="L98" s="222"/>
      <c r="M98" s="222"/>
      <c r="N98" s="222"/>
      <c r="O98" s="222"/>
      <c r="P98" s="222"/>
      <c r="Q98" s="222"/>
      <c r="R98" s="222"/>
      <c r="S98" s="222"/>
      <c r="T98" s="222"/>
      <c r="U98" s="222"/>
      <c r="V98" s="222"/>
      <c r="W98" s="222"/>
      <c r="X98" s="222"/>
      <c r="Y98" s="221"/>
      <c r="Z98" s="221"/>
      <c r="AA98" s="221"/>
      <c r="AB98" s="276"/>
      <c r="AC98" s="276"/>
      <c r="AD98" s="276"/>
      <c r="AE98" s="276"/>
      <c r="AF98" s="276"/>
    </row>
    <row r="99" spans="1:32" s="216" customFormat="1">
      <c r="A99" s="276"/>
      <c r="B99" s="276"/>
      <c r="C99" s="276"/>
      <c r="D99" s="276"/>
      <c r="E99" s="276"/>
      <c r="F99" s="276"/>
      <c r="G99" s="276"/>
      <c r="H99" s="276"/>
      <c r="I99" s="276"/>
      <c r="J99" s="222"/>
      <c r="K99" s="222"/>
      <c r="L99" s="222"/>
      <c r="M99" s="222"/>
      <c r="N99" s="222"/>
      <c r="O99" s="222"/>
      <c r="P99" s="222"/>
      <c r="Q99" s="222"/>
      <c r="R99" s="222"/>
      <c r="S99" s="222"/>
      <c r="T99" s="222"/>
      <c r="U99" s="222"/>
      <c r="V99" s="222"/>
      <c r="W99" s="222"/>
      <c r="X99" s="222"/>
      <c r="Y99" s="276"/>
      <c r="Z99" s="276"/>
      <c r="AA99" s="276"/>
      <c r="AB99" s="276"/>
      <c r="AC99" s="276"/>
      <c r="AD99" s="276"/>
      <c r="AE99" s="276"/>
      <c r="AF99" s="276"/>
    </row>
  </sheetData>
  <sheetProtection sheet="1" objects="1" scenarios="1"/>
  <mergeCells count="2">
    <mergeCell ref="L13:L15"/>
    <mergeCell ref="C34:G34"/>
  </mergeCells>
  <dataValidations count="3">
    <dataValidation type="list" allowBlank="1" showInputMessage="1" showErrorMessage="1" sqref="B16:B21" xr:uid="{00000000-0002-0000-0600-000000000000}">
      <formula1>$U$13:$U$22</formula1>
    </dataValidation>
    <dataValidation type="list" allowBlank="1" showInputMessage="1" showErrorMessage="1" sqref="E16:E21" xr:uid="{00000000-0002-0000-0600-000001000000}">
      <formula1>$K$10:$K$12</formula1>
    </dataValidation>
    <dataValidation type="decimal" operator="greaterThanOrEqual" allowBlank="1" showInputMessage="1" showErrorMessage="1" sqref="C16:C21" xr:uid="{00000000-0002-0000-0600-000002000000}">
      <formula1>0</formula1>
    </dataValidation>
  </dataValidations>
  <printOptions horizontalCentered="1"/>
  <pageMargins left="1" right="1" top="0.75" bottom="0.75" header="0.3" footer="0.3"/>
  <pageSetup scale="1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AS99"/>
  <sheetViews>
    <sheetView showZeros="0" topLeftCell="A57" workbookViewId="0"/>
  </sheetViews>
  <sheetFormatPr defaultColWidth="9.140625" defaultRowHeight="12.75"/>
  <cols>
    <col min="1" max="1" width="43.28515625" style="276" customWidth="1"/>
    <col min="2" max="2" width="26.85546875" style="276" customWidth="1"/>
    <col min="3" max="3" width="11" style="276" customWidth="1"/>
    <col min="4" max="4" width="10.7109375" style="276" customWidth="1"/>
    <col min="5" max="5" width="11.28515625" style="276" customWidth="1"/>
    <col min="6" max="6" width="9.42578125" style="276" customWidth="1"/>
    <col min="7" max="7" width="7.7109375" style="276" customWidth="1"/>
    <col min="8" max="8" width="10.42578125" style="276" customWidth="1"/>
    <col min="9" max="9" width="12.140625" style="276" customWidth="1"/>
    <col min="10" max="10" width="9.140625" style="222"/>
    <col min="11" max="11" width="9.7109375" style="222" hidden="1" customWidth="1"/>
    <col min="12" max="12" width="20.5703125" style="222" hidden="1" customWidth="1"/>
    <col min="13" max="23" width="0" style="222" hidden="1" customWidth="1"/>
    <col min="24" max="24" width="9.140625" style="222"/>
    <col min="25" max="45" width="9.140625" style="276"/>
    <col min="46" max="16384" width="9.140625" style="238"/>
  </cols>
  <sheetData>
    <row r="1" spans="1:27" ht="39.75" thickBot="1">
      <c r="B1" s="44" t="s">
        <v>189</v>
      </c>
      <c r="C1" s="215"/>
      <c r="D1" s="215"/>
      <c r="E1" s="196">
        <f>Inputs!G50</f>
        <v>0</v>
      </c>
      <c r="F1" s="224" t="s">
        <v>143</v>
      </c>
      <c r="G1" s="215"/>
      <c r="H1" s="215"/>
      <c r="I1" s="44"/>
      <c r="K1" s="416"/>
      <c r="L1" s="417" t="s">
        <v>186</v>
      </c>
      <c r="M1" s="417" t="str">
        <f>IF(Inputs!$B$68=0,"",Inputs!$B$68)</f>
        <v>Creep Feed</v>
      </c>
      <c r="N1" s="417" t="str">
        <f>IF(Inputs!$B$69=0,"",Inputs!$B$69)</f>
        <v xml:space="preserve">Pasture </v>
      </c>
      <c r="O1" s="417" t="str">
        <f>IF(Inputs!B70=0,"",Inputs!B70)</f>
        <v>Prairie Hay</v>
      </c>
      <c r="P1" s="417" t="str">
        <f>IF(Inputs!B71=0,"",Inputs!B71)</f>
        <v>Alfalfa</v>
      </c>
      <c r="Q1" s="417" t="str">
        <f>IF(Inputs!B72=0,"",Inputs!B72)</f>
        <v>DDG Cubes</v>
      </c>
      <c r="R1" s="417" t="str">
        <f>IF(Inputs!B73=0,"",Inputs!B73)</f>
        <v>Salt and Mineral</v>
      </c>
      <c r="S1" s="417" t="str">
        <f>IF(Inputs!B74=0,"",Inputs!B74)</f>
        <v>Silage</v>
      </c>
      <c r="T1" s="417" t="str">
        <f>IF(Inputs!B75=0,"",Inputs!B75)</f>
        <v>Corn</v>
      </c>
      <c r="U1" s="417" t="str">
        <f>IF(Inputs!B76=0,"",Inputs!B76)</f>
        <v>Wet Distiller's Grain</v>
      </c>
      <c r="V1" s="417" t="str">
        <f>IF(Inputs!B77=0,"",Inputs!B77)</f>
        <v>Corn Stalks</v>
      </c>
      <c r="W1" s="419" t="s">
        <v>30</v>
      </c>
    </row>
    <row r="2" spans="1:27" ht="26.25" thickBot="1">
      <c r="B2" s="41" t="s">
        <v>96</v>
      </c>
      <c r="C2" s="108"/>
      <c r="D2" s="109"/>
      <c r="E2" s="109"/>
      <c r="F2" s="41"/>
      <c r="G2" s="119"/>
      <c r="H2" s="108" t="s">
        <v>73</v>
      </c>
      <c r="I2" s="122" t="s">
        <v>93</v>
      </c>
      <c r="K2" s="418"/>
      <c r="L2" s="418">
        <f t="shared" ref="L2:L7" si="0">B16</f>
        <v>0</v>
      </c>
      <c r="M2" s="418">
        <f>IF(M$1=$L2,$K16,0)</f>
        <v>0</v>
      </c>
      <c r="N2" s="418">
        <f t="shared" ref="N2:V2" si="1">IF(N$1=$L2,$K16,0)</f>
        <v>0</v>
      </c>
      <c r="O2" s="418">
        <f t="shared" si="1"/>
        <v>0</v>
      </c>
      <c r="P2" s="418">
        <f t="shared" si="1"/>
        <v>0</v>
      </c>
      <c r="Q2" s="418">
        <f t="shared" si="1"/>
        <v>0</v>
      </c>
      <c r="R2" s="418">
        <f t="shared" si="1"/>
        <v>0</v>
      </c>
      <c r="S2" s="418">
        <f t="shared" si="1"/>
        <v>0</v>
      </c>
      <c r="T2" s="418">
        <f t="shared" si="1"/>
        <v>0</v>
      </c>
      <c r="U2" s="418">
        <f t="shared" si="1"/>
        <v>0</v>
      </c>
      <c r="V2" s="418">
        <f t="shared" si="1"/>
        <v>0</v>
      </c>
      <c r="W2" s="418">
        <f t="shared" ref="W2:W7" si="2">SUM(M2:V2)</f>
        <v>0</v>
      </c>
    </row>
    <row r="3" spans="1:27">
      <c r="B3" s="254"/>
      <c r="C3" s="362" t="s">
        <v>43</v>
      </c>
      <c r="D3" s="363" t="s">
        <v>29</v>
      </c>
      <c r="E3" s="363" t="s">
        <v>5</v>
      </c>
      <c r="F3" s="120"/>
      <c r="G3" s="121"/>
      <c r="H3" s="265" t="s">
        <v>30</v>
      </c>
      <c r="I3" s="91" t="s">
        <v>30</v>
      </c>
      <c r="K3" s="416"/>
      <c r="L3" s="418">
        <f t="shared" si="0"/>
        <v>0</v>
      </c>
      <c r="M3" s="418">
        <f t="shared" ref="M3:V7" si="3">IF(M$1=$L3,$K17,0)</f>
        <v>0</v>
      </c>
      <c r="N3" s="418">
        <f t="shared" si="3"/>
        <v>0</v>
      </c>
      <c r="O3" s="418">
        <f t="shared" si="3"/>
        <v>0</v>
      </c>
      <c r="P3" s="418">
        <f t="shared" si="3"/>
        <v>0</v>
      </c>
      <c r="Q3" s="418">
        <f t="shared" si="3"/>
        <v>0</v>
      </c>
      <c r="R3" s="418">
        <f t="shared" si="3"/>
        <v>0</v>
      </c>
      <c r="S3" s="418">
        <f t="shared" si="3"/>
        <v>0</v>
      </c>
      <c r="T3" s="418">
        <f t="shared" si="3"/>
        <v>0</v>
      </c>
      <c r="U3" s="418">
        <f t="shared" si="3"/>
        <v>0</v>
      </c>
      <c r="V3" s="418">
        <f t="shared" si="3"/>
        <v>0</v>
      </c>
      <c r="W3" s="418">
        <f t="shared" si="2"/>
        <v>0</v>
      </c>
    </row>
    <row r="4" spans="1:27">
      <c r="B4" s="27" t="s">
        <v>158</v>
      </c>
      <c r="C4" s="192">
        <f>Inputs!G52-Inputs!O52</f>
        <v>0</v>
      </c>
      <c r="D4" s="368">
        <f>Inputs!G53</f>
        <v>0</v>
      </c>
      <c r="E4" s="368">
        <f>Inputs!G54</f>
        <v>0</v>
      </c>
      <c r="F4" s="250" t="s">
        <v>1</v>
      </c>
      <c r="G4" s="367"/>
      <c r="H4" s="442">
        <f>C4*D4*E4/100</f>
        <v>0</v>
      </c>
      <c r="I4" s="470">
        <f>D4*E4/100</f>
        <v>0</v>
      </c>
      <c r="K4" s="416"/>
      <c r="L4" s="418">
        <f t="shared" si="0"/>
        <v>0</v>
      </c>
      <c r="M4" s="418">
        <f t="shared" si="3"/>
        <v>0</v>
      </c>
      <c r="N4" s="418">
        <f t="shared" si="3"/>
        <v>0</v>
      </c>
      <c r="O4" s="418">
        <f t="shared" si="3"/>
        <v>0</v>
      </c>
      <c r="P4" s="418">
        <f t="shared" si="3"/>
        <v>0</v>
      </c>
      <c r="Q4" s="418">
        <f t="shared" si="3"/>
        <v>0</v>
      </c>
      <c r="R4" s="418">
        <f t="shared" si="3"/>
        <v>0</v>
      </c>
      <c r="S4" s="418">
        <f t="shared" si="3"/>
        <v>0</v>
      </c>
      <c r="T4" s="418">
        <f t="shared" si="3"/>
        <v>0</v>
      </c>
      <c r="U4" s="418">
        <f t="shared" si="3"/>
        <v>0</v>
      </c>
      <c r="V4" s="418">
        <f t="shared" si="3"/>
        <v>0</v>
      </c>
      <c r="W4" s="418">
        <f t="shared" si="2"/>
        <v>0</v>
      </c>
    </row>
    <row r="5" spans="1:27">
      <c r="B5" s="249" t="s">
        <v>164</v>
      </c>
      <c r="C5" s="369">
        <f>Inputs!G55-Inputs!O52</f>
        <v>0</v>
      </c>
      <c r="D5" s="189">
        <f>Inputs!G56</f>
        <v>0</v>
      </c>
      <c r="E5" s="189">
        <f>Inputs!G57</f>
        <v>0</v>
      </c>
      <c r="F5" s="250" t="s">
        <v>1</v>
      </c>
      <c r="G5" s="264"/>
      <c r="H5" s="442">
        <f>C5*D5*E5/100</f>
        <v>0</v>
      </c>
      <c r="I5" s="470">
        <f>D5*E5/100</f>
        <v>0</v>
      </c>
      <c r="K5" s="416"/>
      <c r="L5" s="418">
        <f t="shared" si="0"/>
        <v>0</v>
      </c>
      <c r="M5" s="418">
        <f t="shared" si="3"/>
        <v>0</v>
      </c>
      <c r="N5" s="418">
        <f t="shared" si="3"/>
        <v>0</v>
      </c>
      <c r="O5" s="418">
        <f t="shared" si="3"/>
        <v>0</v>
      </c>
      <c r="P5" s="418">
        <f t="shared" si="3"/>
        <v>0</v>
      </c>
      <c r="Q5" s="418">
        <f t="shared" si="3"/>
        <v>0</v>
      </c>
      <c r="R5" s="418">
        <f t="shared" si="3"/>
        <v>0</v>
      </c>
      <c r="S5" s="418">
        <f t="shared" si="3"/>
        <v>0</v>
      </c>
      <c r="T5" s="418">
        <f t="shared" si="3"/>
        <v>0</v>
      </c>
      <c r="U5" s="418">
        <f t="shared" si="3"/>
        <v>0</v>
      </c>
      <c r="V5" s="418">
        <f t="shared" si="3"/>
        <v>0</v>
      </c>
      <c r="W5" s="418">
        <f t="shared" si="2"/>
        <v>0</v>
      </c>
    </row>
    <row r="6" spans="1:27" ht="13.5" thickBot="1">
      <c r="B6" s="249"/>
      <c r="C6" s="242"/>
      <c r="D6" s="250"/>
      <c r="E6" s="250"/>
      <c r="F6" s="250"/>
      <c r="G6" s="264"/>
      <c r="H6" s="442"/>
      <c r="I6" s="470"/>
      <c r="K6" s="416"/>
      <c r="L6" s="418">
        <f t="shared" si="0"/>
        <v>0</v>
      </c>
      <c r="M6" s="418">
        <f t="shared" si="3"/>
        <v>0</v>
      </c>
      <c r="N6" s="418">
        <f t="shared" si="3"/>
        <v>0</v>
      </c>
      <c r="O6" s="418">
        <f t="shared" si="3"/>
        <v>0</v>
      </c>
      <c r="P6" s="418">
        <f t="shared" si="3"/>
        <v>0</v>
      </c>
      <c r="Q6" s="418">
        <f t="shared" si="3"/>
        <v>0</v>
      </c>
      <c r="R6" s="418">
        <f t="shared" si="3"/>
        <v>0</v>
      </c>
      <c r="S6" s="418">
        <f t="shared" si="3"/>
        <v>0</v>
      </c>
      <c r="T6" s="418">
        <f t="shared" si="3"/>
        <v>0</v>
      </c>
      <c r="U6" s="418">
        <f t="shared" si="3"/>
        <v>0</v>
      </c>
      <c r="V6" s="418">
        <f t="shared" si="3"/>
        <v>0</v>
      </c>
      <c r="W6" s="418">
        <f t="shared" si="2"/>
        <v>0</v>
      </c>
    </row>
    <row r="7" spans="1:27" ht="13.5" thickBot="1">
      <c r="B7" s="123"/>
      <c r="C7" s="96"/>
      <c r="D7" s="42"/>
      <c r="E7" s="42"/>
      <c r="F7" s="42"/>
      <c r="G7" s="97" t="s">
        <v>109</v>
      </c>
      <c r="H7" s="473">
        <f>SUM(H4:H6)</f>
        <v>0</v>
      </c>
      <c r="I7" s="472">
        <f>IF(H7=0,0,H7/($C$5+$C$4))</f>
        <v>0</v>
      </c>
      <c r="K7" s="416"/>
      <c r="L7" s="418">
        <f t="shared" si="0"/>
        <v>0</v>
      </c>
      <c r="M7" s="418">
        <f t="shared" si="3"/>
        <v>0</v>
      </c>
      <c r="N7" s="418">
        <f t="shared" si="3"/>
        <v>0</v>
      </c>
      <c r="O7" s="418">
        <f t="shared" si="3"/>
        <v>0</v>
      </c>
      <c r="P7" s="418">
        <f t="shared" si="3"/>
        <v>0</v>
      </c>
      <c r="Q7" s="418">
        <f t="shared" si="3"/>
        <v>0</v>
      </c>
      <c r="R7" s="418">
        <f t="shared" si="3"/>
        <v>0</v>
      </c>
      <c r="S7" s="418">
        <f t="shared" si="3"/>
        <v>0</v>
      </c>
      <c r="T7" s="418">
        <f t="shared" si="3"/>
        <v>0</v>
      </c>
      <c r="U7" s="418">
        <f t="shared" si="3"/>
        <v>0</v>
      </c>
      <c r="V7" s="418">
        <f t="shared" si="3"/>
        <v>0</v>
      </c>
      <c r="W7" s="418">
        <f t="shared" si="2"/>
        <v>0</v>
      </c>
    </row>
    <row r="8" spans="1:27" ht="13.5" thickBot="1">
      <c r="B8" s="53"/>
      <c r="C8" s="53"/>
      <c r="D8" s="43"/>
      <c r="E8" s="43"/>
      <c r="F8" s="43"/>
      <c r="G8" s="43"/>
      <c r="H8" s="591"/>
      <c r="I8" s="610" t="str">
        <f>IF(H8=0,"",H8/$C$5)</f>
        <v/>
      </c>
      <c r="K8" s="416"/>
      <c r="L8" s="418" t="s">
        <v>30</v>
      </c>
      <c r="M8" s="418">
        <f>SUM(M2:M7)</f>
        <v>0</v>
      </c>
      <c r="N8" s="418">
        <f t="shared" ref="N8:V8" si="4">SUM(N2:N7)</f>
        <v>0</v>
      </c>
      <c r="O8" s="418">
        <f t="shared" si="4"/>
        <v>0</v>
      </c>
      <c r="P8" s="418">
        <f t="shared" si="4"/>
        <v>0</v>
      </c>
      <c r="Q8" s="418">
        <f t="shared" si="4"/>
        <v>0</v>
      </c>
      <c r="R8" s="418">
        <f t="shared" si="4"/>
        <v>0</v>
      </c>
      <c r="S8" s="418">
        <f t="shared" si="4"/>
        <v>0</v>
      </c>
      <c r="T8" s="418">
        <f t="shared" si="4"/>
        <v>0</v>
      </c>
      <c r="U8" s="418">
        <f t="shared" si="4"/>
        <v>0</v>
      </c>
      <c r="V8" s="418">
        <f t="shared" si="4"/>
        <v>0</v>
      </c>
      <c r="W8" s="418"/>
    </row>
    <row r="9" spans="1:27" ht="26.25" thickBot="1">
      <c r="B9" s="41" t="s">
        <v>95</v>
      </c>
      <c r="C9" s="108"/>
      <c r="D9" s="109"/>
      <c r="E9" s="109"/>
      <c r="F9" s="109"/>
      <c r="G9" s="109"/>
      <c r="H9" s="592" t="s">
        <v>73</v>
      </c>
      <c r="I9" s="611" t="s">
        <v>93</v>
      </c>
      <c r="K9" s="416"/>
      <c r="L9" s="416"/>
      <c r="M9" s="416"/>
      <c r="N9" s="416"/>
      <c r="O9" s="416"/>
      <c r="P9" s="416"/>
      <c r="Q9" s="416"/>
      <c r="R9" s="416"/>
      <c r="S9" s="416"/>
      <c r="T9" s="416"/>
      <c r="U9" s="416"/>
      <c r="V9" s="416"/>
      <c r="W9" s="416"/>
    </row>
    <row r="10" spans="1:27">
      <c r="B10" s="261"/>
      <c r="C10" s="360" t="s">
        <v>43</v>
      </c>
      <c r="D10" s="361" t="s">
        <v>29</v>
      </c>
      <c r="E10" s="361" t="s">
        <v>5</v>
      </c>
      <c r="F10" s="268"/>
      <c r="G10" s="284"/>
      <c r="H10" s="593" t="s">
        <v>30</v>
      </c>
      <c r="I10" s="612"/>
      <c r="K10" s="416" t="s">
        <v>60</v>
      </c>
      <c r="L10" s="416"/>
      <c r="M10" s="416"/>
      <c r="N10" s="416"/>
      <c r="O10" s="416"/>
      <c r="P10" s="416"/>
      <c r="Q10" s="416"/>
      <c r="R10" s="416"/>
      <c r="S10" s="416"/>
      <c r="T10" s="416"/>
      <c r="U10" s="416"/>
      <c r="V10" s="416"/>
      <c r="W10" s="416"/>
    </row>
    <row r="11" spans="1:27" ht="12.75" customHeight="1">
      <c r="B11" s="254" t="s">
        <v>133</v>
      </c>
      <c r="C11" s="117">
        <f>Inputs!G52</f>
        <v>0</v>
      </c>
      <c r="D11" s="189">
        <f>Inputs!G43</f>
        <v>0</v>
      </c>
      <c r="E11" s="251">
        <f>Inputs!G44</f>
        <v>0</v>
      </c>
      <c r="F11" s="250" t="s">
        <v>1</v>
      </c>
      <c r="G11" s="264"/>
      <c r="H11" s="594">
        <f>IF(C11=0,0,C11*D11*E11/100)</f>
        <v>0</v>
      </c>
      <c r="I11" s="613"/>
      <c r="K11" s="416" t="s">
        <v>63</v>
      </c>
      <c r="L11" s="416"/>
      <c r="M11" s="416"/>
      <c r="N11" s="416"/>
      <c r="O11" s="416"/>
      <c r="P11" s="416"/>
      <c r="Q11" s="416"/>
      <c r="R11" s="416"/>
      <c r="S11" s="416"/>
      <c r="T11" s="416"/>
      <c r="U11" s="416"/>
      <c r="V11" s="416"/>
      <c r="W11" s="416"/>
    </row>
    <row r="12" spans="1:27" ht="12.75" customHeight="1" thickBot="1">
      <c r="B12" s="254" t="s">
        <v>134</v>
      </c>
      <c r="C12" s="117">
        <f>Inputs!G55</f>
        <v>0</v>
      </c>
      <c r="D12" s="189">
        <f>Inputs!G46</f>
        <v>0</v>
      </c>
      <c r="E12" s="251">
        <f>Inputs!G47</f>
        <v>0</v>
      </c>
      <c r="F12" s="250" t="s">
        <v>1</v>
      </c>
      <c r="G12" s="264"/>
      <c r="H12" s="595">
        <f>IF(C12=0,0,C12*D12*E12/100)</f>
        <v>0</v>
      </c>
      <c r="I12" s="614"/>
      <c r="K12" s="418"/>
      <c r="L12" s="416"/>
      <c r="M12" s="416"/>
      <c r="N12" s="416"/>
      <c r="O12" s="416"/>
      <c r="P12" s="416"/>
      <c r="Q12" s="416"/>
      <c r="R12" s="416"/>
      <c r="S12" s="416"/>
      <c r="T12" s="416"/>
      <c r="U12" s="416"/>
      <c r="V12" s="416"/>
      <c r="W12" s="416"/>
    </row>
    <row r="13" spans="1:27" ht="13.5" customHeight="1" thickTop="1">
      <c r="B13" s="249"/>
      <c r="C13" s="238"/>
      <c r="D13" s="250"/>
      <c r="E13" s="43"/>
      <c r="F13" s="250"/>
      <c r="G13" s="257" t="s">
        <v>149</v>
      </c>
      <c r="H13" s="596">
        <f>SUM(H11:H12)</f>
        <v>0</v>
      </c>
      <c r="I13" s="560">
        <f>IF(H13=0,0,H13/($C$5+$C$4))</f>
        <v>0</v>
      </c>
      <c r="K13" s="418"/>
      <c r="L13" s="823"/>
      <c r="M13" s="418"/>
      <c r="N13" s="416"/>
      <c r="O13" s="416"/>
      <c r="P13" s="416"/>
      <c r="Q13" s="416"/>
      <c r="R13" s="416"/>
      <c r="S13" s="416"/>
      <c r="T13" s="416"/>
      <c r="U13" s="416" t="str">
        <f>IF(Inputs!B68="","",Inputs!B68)</f>
        <v>Creep Feed</v>
      </c>
      <c r="V13" s="416"/>
      <c r="W13" s="416"/>
      <c r="Y13" s="221"/>
      <c r="Z13" s="221"/>
      <c r="AA13" s="221"/>
    </row>
    <row r="14" spans="1:27">
      <c r="B14" s="249"/>
      <c r="C14" s="370"/>
      <c r="D14" s="250"/>
      <c r="E14" s="238"/>
      <c r="F14" s="250"/>
      <c r="G14" s="250"/>
      <c r="H14" s="596"/>
      <c r="I14" s="560"/>
      <c r="K14" s="418"/>
      <c r="L14" s="823"/>
      <c r="M14" s="418"/>
      <c r="N14" s="416"/>
      <c r="O14" s="416"/>
      <c r="P14" s="416"/>
      <c r="Q14" s="416"/>
      <c r="R14" s="416"/>
      <c r="S14" s="416"/>
      <c r="T14" s="416"/>
      <c r="U14" s="416" t="str">
        <f>IF(Inputs!B69="","",Inputs!B69)</f>
        <v xml:space="preserve">Pasture </v>
      </c>
      <c r="V14" s="416"/>
      <c r="W14" s="416"/>
      <c r="Y14" s="221"/>
      <c r="Z14" s="221"/>
      <c r="AA14" s="221"/>
    </row>
    <row r="15" spans="1:27" ht="39" customHeight="1">
      <c r="A15" s="155"/>
      <c r="B15" s="254" t="s">
        <v>7</v>
      </c>
      <c r="C15" s="355" t="s">
        <v>67</v>
      </c>
      <c r="D15" s="250"/>
      <c r="E15" s="356" t="s">
        <v>62</v>
      </c>
      <c r="F15" s="269" t="s">
        <v>5</v>
      </c>
      <c r="G15" s="116"/>
      <c r="H15" s="597" t="s">
        <v>30</v>
      </c>
      <c r="I15" s="615" t="s">
        <v>30</v>
      </c>
      <c r="K15" s="429"/>
      <c r="L15" s="823"/>
      <c r="M15" s="418"/>
      <c r="N15" s="416"/>
      <c r="O15" s="416"/>
      <c r="P15" s="416"/>
      <c r="Q15" s="416"/>
      <c r="R15" s="416"/>
      <c r="S15" s="416"/>
      <c r="T15" s="416"/>
      <c r="U15" s="416" t="str">
        <f>IF(Inputs!B70="","",Inputs!B70)</f>
        <v>Prairie Hay</v>
      </c>
      <c r="V15" s="416"/>
      <c r="W15" s="416"/>
      <c r="Y15" s="221"/>
      <c r="Z15" s="221"/>
      <c r="AA15" s="221"/>
    </row>
    <row r="16" spans="1:27">
      <c r="B16" s="739"/>
      <c r="C16" s="740"/>
      <c r="D16" s="277" t="str">
        <f t="shared" ref="D16:D21" si="5">IF(B16="","",CONCATENATE(VLOOKUP(B16,Feed,5,FALSE)))</f>
        <v/>
      </c>
      <c r="E16" s="742" t="s">
        <v>60</v>
      </c>
      <c r="F16" s="256" t="str">
        <f t="shared" ref="F16:F21" si="6">IF(B16="","",VLOOKUP(B16,Feed,7,FALSE))</f>
        <v/>
      </c>
      <c r="G16" s="272" t="str">
        <f t="shared" ref="G16:G21" si="7">IF(B16="","",CONCATENATE("$ ",VLOOKUP(B16,Feed,5,FALSE)))</f>
        <v/>
      </c>
      <c r="H16" s="445" t="str">
        <f t="shared" ref="H16:H21" si="8">IF(B16="","",C16*F16*IF(E16="per animal",($C$4+$C$5+$C$11+$C$12)/2,1))</f>
        <v/>
      </c>
      <c r="I16" s="439" t="str">
        <f t="shared" ref="I16:I21" si="9">IF(B16="","",IF(($C$4+$C$5)=0,"",H16/($C$4+$C$5)))</f>
        <v/>
      </c>
      <c r="K16" s="416">
        <f t="shared" ref="K16:K21" si="10">C16*IF(E16="total",1,IF(E16="per animal",($C$4+$C$5+$C$11+$C$12)/2,0))</f>
        <v>0</v>
      </c>
      <c r="L16" s="418"/>
      <c r="M16" s="430"/>
      <c r="N16" s="416"/>
      <c r="O16" s="431"/>
      <c r="P16" s="416"/>
      <c r="Q16" s="416"/>
      <c r="R16" s="416"/>
      <c r="S16" s="416"/>
      <c r="T16" s="416"/>
      <c r="U16" s="416" t="str">
        <f>IF(Inputs!B71="","",Inputs!B71)</f>
        <v>Alfalfa</v>
      </c>
      <c r="V16" s="416"/>
      <c r="W16" s="416"/>
      <c r="Y16" s="221"/>
      <c r="Z16" s="221"/>
      <c r="AA16" s="221"/>
    </row>
    <row r="17" spans="1:27">
      <c r="B17" s="738"/>
      <c r="C17" s="741"/>
      <c r="D17" s="277" t="str">
        <f t="shared" si="5"/>
        <v/>
      </c>
      <c r="E17" s="743" t="s">
        <v>60</v>
      </c>
      <c r="F17" s="256" t="str">
        <f t="shared" si="6"/>
        <v/>
      </c>
      <c r="G17" s="272" t="str">
        <f t="shared" si="7"/>
        <v/>
      </c>
      <c r="H17" s="445" t="str">
        <f t="shared" si="8"/>
        <v/>
      </c>
      <c r="I17" s="439" t="str">
        <f t="shared" si="9"/>
        <v/>
      </c>
      <c r="K17" s="416">
        <f t="shared" si="10"/>
        <v>0</v>
      </c>
      <c r="L17" s="418"/>
      <c r="M17" s="418"/>
      <c r="N17" s="416"/>
      <c r="O17" s="416"/>
      <c r="P17" s="416"/>
      <c r="Q17" s="416"/>
      <c r="R17" s="416"/>
      <c r="S17" s="416"/>
      <c r="T17" s="416"/>
      <c r="U17" s="416" t="str">
        <f>IF(Inputs!B72="","",Inputs!B72)</f>
        <v>DDG Cubes</v>
      </c>
      <c r="V17" s="416"/>
      <c r="W17" s="416"/>
      <c r="Y17" s="221"/>
      <c r="Z17" s="221"/>
      <c r="AA17" s="221"/>
    </row>
    <row r="18" spans="1:27">
      <c r="B18" s="738"/>
      <c r="C18" s="740"/>
      <c r="D18" s="277" t="str">
        <f t="shared" si="5"/>
        <v/>
      </c>
      <c r="E18" s="742" t="s">
        <v>60</v>
      </c>
      <c r="F18" s="256" t="str">
        <f t="shared" si="6"/>
        <v/>
      </c>
      <c r="G18" s="272" t="str">
        <f t="shared" si="7"/>
        <v/>
      </c>
      <c r="H18" s="445" t="str">
        <f t="shared" si="8"/>
        <v/>
      </c>
      <c r="I18" s="439" t="str">
        <f t="shared" si="9"/>
        <v/>
      </c>
      <c r="K18" s="416">
        <f t="shared" si="10"/>
        <v>0</v>
      </c>
      <c r="L18" s="418"/>
      <c r="M18" s="418"/>
      <c r="N18" s="416"/>
      <c r="O18" s="416"/>
      <c r="P18" s="416"/>
      <c r="Q18" s="416"/>
      <c r="R18" s="416"/>
      <c r="S18" s="416"/>
      <c r="T18" s="416"/>
      <c r="U18" s="416" t="str">
        <f>IF(Inputs!B73="","",Inputs!B73)</f>
        <v>Salt and Mineral</v>
      </c>
      <c r="V18" s="416"/>
      <c r="W18" s="416"/>
      <c r="Y18" s="221"/>
      <c r="Z18" s="221"/>
      <c r="AA18" s="221"/>
    </row>
    <row r="19" spans="1:27">
      <c r="B19" s="738"/>
      <c r="C19" s="740"/>
      <c r="D19" s="277" t="str">
        <f t="shared" si="5"/>
        <v/>
      </c>
      <c r="E19" s="742" t="s">
        <v>60</v>
      </c>
      <c r="F19" s="256" t="str">
        <f t="shared" si="6"/>
        <v/>
      </c>
      <c r="G19" s="272" t="str">
        <f t="shared" si="7"/>
        <v/>
      </c>
      <c r="H19" s="445" t="str">
        <f t="shared" si="8"/>
        <v/>
      </c>
      <c r="I19" s="439" t="str">
        <f t="shared" si="9"/>
        <v/>
      </c>
      <c r="K19" s="416">
        <f t="shared" si="10"/>
        <v>0</v>
      </c>
      <c r="L19" s="418"/>
      <c r="M19" s="418"/>
      <c r="N19" s="416"/>
      <c r="O19" s="416"/>
      <c r="P19" s="416"/>
      <c r="Q19" s="416"/>
      <c r="R19" s="416"/>
      <c r="S19" s="416"/>
      <c r="T19" s="416"/>
      <c r="U19" s="416" t="str">
        <f>IF(Inputs!B74="","",Inputs!B74)</f>
        <v>Silage</v>
      </c>
      <c r="V19" s="416"/>
      <c r="W19" s="416"/>
      <c r="Y19" s="221"/>
      <c r="Z19" s="221"/>
      <c r="AA19" s="221"/>
    </row>
    <row r="20" spans="1:27">
      <c r="B20" s="204"/>
      <c r="C20" s="205"/>
      <c r="D20" s="277" t="str">
        <f t="shared" si="5"/>
        <v/>
      </c>
      <c r="E20" s="218"/>
      <c r="F20" s="256" t="str">
        <f t="shared" si="6"/>
        <v/>
      </c>
      <c r="G20" s="272" t="str">
        <f t="shared" si="7"/>
        <v/>
      </c>
      <c r="H20" s="445" t="str">
        <f t="shared" si="8"/>
        <v/>
      </c>
      <c r="I20" s="439" t="str">
        <f t="shared" si="9"/>
        <v/>
      </c>
      <c r="K20" s="416">
        <f t="shared" si="10"/>
        <v>0</v>
      </c>
      <c r="L20" s="418"/>
      <c r="M20" s="418"/>
      <c r="N20" s="416"/>
      <c r="O20" s="416"/>
      <c r="P20" s="416"/>
      <c r="Q20" s="416"/>
      <c r="R20" s="416"/>
      <c r="S20" s="416"/>
      <c r="T20" s="416"/>
      <c r="U20" s="416" t="str">
        <f>IF(Inputs!B75="","",Inputs!B75)</f>
        <v>Corn</v>
      </c>
      <c r="V20" s="416"/>
      <c r="W20" s="416"/>
      <c r="Y20" s="221"/>
      <c r="Z20" s="221"/>
      <c r="AA20" s="221"/>
    </row>
    <row r="21" spans="1:27" ht="13.5" thickBot="1">
      <c r="B21" s="204"/>
      <c r="C21" s="205"/>
      <c r="D21" s="277" t="str">
        <f t="shared" si="5"/>
        <v/>
      </c>
      <c r="E21" s="218"/>
      <c r="F21" s="256" t="str">
        <f t="shared" si="6"/>
        <v/>
      </c>
      <c r="G21" s="272" t="str">
        <f t="shared" si="7"/>
        <v/>
      </c>
      <c r="H21" s="450" t="str">
        <f t="shared" si="8"/>
        <v/>
      </c>
      <c r="I21" s="440" t="str">
        <f t="shared" si="9"/>
        <v/>
      </c>
      <c r="K21" s="416">
        <f t="shared" si="10"/>
        <v>0</v>
      </c>
      <c r="L21" s="418"/>
      <c r="M21" s="418"/>
      <c r="N21" s="416"/>
      <c r="O21" s="416"/>
      <c r="P21" s="416"/>
      <c r="Q21" s="416"/>
      <c r="R21" s="416"/>
      <c r="S21" s="416"/>
      <c r="T21" s="416"/>
      <c r="U21" s="416" t="str">
        <f>IF(Inputs!B76="","",Inputs!B76)</f>
        <v>Wet Distiller's Grain</v>
      </c>
      <c r="V21" s="416"/>
      <c r="W21" s="416"/>
      <c r="Y21" s="221"/>
      <c r="Z21" s="221"/>
      <c r="AA21" s="221"/>
    </row>
    <row r="22" spans="1:27" ht="13.5" thickTop="1">
      <c r="B22" s="249"/>
      <c r="C22" s="75"/>
      <c r="D22" s="250"/>
      <c r="E22" s="257"/>
      <c r="F22" s="259"/>
      <c r="G22" s="257" t="s">
        <v>35</v>
      </c>
      <c r="H22" s="598">
        <f>SUM(H16:H21)</f>
        <v>0</v>
      </c>
      <c r="I22" s="616">
        <f>SUM(I16:I21)</f>
        <v>0</v>
      </c>
      <c r="K22" s="416"/>
      <c r="L22" s="416"/>
      <c r="M22" s="416"/>
      <c r="N22" s="416"/>
      <c r="O22" s="416"/>
      <c r="P22" s="416"/>
      <c r="Q22" s="416"/>
      <c r="R22" s="416"/>
      <c r="S22" s="416"/>
      <c r="T22" s="416"/>
      <c r="U22" s="416" t="str">
        <f>IF(Inputs!B77="","",Inputs!B77)</f>
        <v>Corn Stalks</v>
      </c>
      <c r="V22" s="416"/>
      <c r="W22" s="416"/>
      <c r="Y22" s="221"/>
      <c r="Z22" s="221"/>
      <c r="AA22" s="221"/>
    </row>
    <row r="23" spans="1:27">
      <c r="A23" s="156"/>
      <c r="B23" s="249"/>
      <c r="C23" s="242"/>
      <c r="D23" s="250"/>
      <c r="E23" s="250"/>
      <c r="F23" s="250"/>
      <c r="G23" s="250"/>
      <c r="H23" s="442"/>
      <c r="I23" s="470" t="str">
        <f>IF(H23=0,"",H23/$C$5)</f>
        <v/>
      </c>
      <c r="K23" s="416"/>
      <c r="L23" s="416"/>
      <c r="M23" s="416"/>
      <c r="N23" s="416"/>
      <c r="O23" s="416"/>
      <c r="P23" s="416"/>
      <c r="Q23" s="416"/>
      <c r="R23" s="416"/>
      <c r="S23" s="416"/>
      <c r="T23" s="416"/>
      <c r="U23" s="416"/>
      <c r="V23" s="416"/>
      <c r="W23" s="416"/>
      <c r="Y23" s="221"/>
      <c r="Z23" s="221"/>
      <c r="AA23" s="221"/>
    </row>
    <row r="24" spans="1:27">
      <c r="B24" s="262" t="s">
        <v>44</v>
      </c>
      <c r="C24" s="273"/>
      <c r="D24" s="357" t="s">
        <v>55</v>
      </c>
      <c r="E24" s="357" t="s">
        <v>176</v>
      </c>
      <c r="F24" s="363" t="s">
        <v>47</v>
      </c>
      <c r="G24" s="265"/>
      <c r="H24" s="527" t="s">
        <v>30</v>
      </c>
      <c r="I24" s="617" t="s">
        <v>30</v>
      </c>
      <c r="J24" s="223"/>
      <c r="K24" s="416"/>
      <c r="L24" s="416"/>
      <c r="M24" s="416"/>
      <c r="N24" s="416"/>
      <c r="O24" s="416"/>
      <c r="P24" s="416"/>
      <c r="Q24" s="416"/>
      <c r="R24" s="416"/>
      <c r="S24" s="416"/>
      <c r="T24" s="416"/>
      <c r="U24" s="416"/>
      <c r="V24" s="416"/>
      <c r="W24" s="416"/>
      <c r="Y24" s="221"/>
      <c r="Z24" s="221"/>
      <c r="AA24" s="221"/>
    </row>
    <row r="25" spans="1:27">
      <c r="B25" s="249" t="str">
        <f>Inputs!B81</f>
        <v>Labor</v>
      </c>
      <c r="C25" s="241"/>
      <c r="D25" s="365">
        <f>Inputs!D81</f>
        <v>10</v>
      </c>
      <c r="E25" s="358" t="str">
        <f>Inputs!E81</f>
        <v>per animal</v>
      </c>
      <c r="F25" s="124">
        <f>Inputs!T81</f>
        <v>0</v>
      </c>
      <c r="G25" s="264"/>
      <c r="H25" s="599">
        <f>D25*IF(E25="per animal",$C$11+$C$12,1)*F25</f>
        <v>0</v>
      </c>
      <c r="I25" s="439" t="str">
        <f>IF(B25="","",IF(($C$4+$C$5)=0,"",H25/($C$4+$C$5)))</f>
        <v/>
      </c>
      <c r="K25" s="416"/>
      <c r="L25" s="416"/>
      <c r="M25" s="416"/>
      <c r="N25" s="416"/>
      <c r="O25" s="416"/>
      <c r="P25" s="416"/>
      <c r="Q25" s="416"/>
      <c r="R25" s="416"/>
      <c r="S25" s="416"/>
      <c r="T25" s="416"/>
      <c r="U25" s="416"/>
      <c r="V25" s="416"/>
      <c r="W25" s="416"/>
      <c r="Y25" s="221"/>
      <c r="Z25" s="221"/>
      <c r="AA25" s="221"/>
    </row>
    <row r="26" spans="1:27">
      <c r="B26" s="249" t="str">
        <f>Inputs!B82</f>
        <v xml:space="preserve">Fuel / transportation </v>
      </c>
      <c r="C26" s="241"/>
      <c r="D26" s="365">
        <f>Inputs!D82</f>
        <v>15</v>
      </c>
      <c r="E26" s="358" t="str">
        <f>Inputs!E82</f>
        <v>per animal</v>
      </c>
      <c r="F26" s="124">
        <f>Inputs!T82</f>
        <v>0</v>
      </c>
      <c r="G26" s="264"/>
      <c r="H26" s="599">
        <f t="shared" ref="H26:H33" si="11">D26*IF(E26="per animal",$C$11+$C$12,1)*F26</f>
        <v>0</v>
      </c>
      <c r="I26" s="439" t="str">
        <f t="shared" ref="I26:I33" si="12">IF(B26="","",IF(($C$4+$C$5)=0,"",H26/($C$4+$C$5)))</f>
        <v/>
      </c>
      <c r="K26" s="416"/>
      <c r="L26" s="416"/>
      <c r="M26" s="416"/>
      <c r="N26" s="416"/>
      <c r="O26" s="416"/>
      <c r="P26" s="416"/>
      <c r="Q26" s="416"/>
      <c r="R26" s="416"/>
      <c r="S26" s="416"/>
      <c r="T26" s="416"/>
      <c r="U26" s="416"/>
      <c r="V26" s="416"/>
      <c r="W26" s="416"/>
      <c r="Y26" s="221"/>
      <c r="Z26" s="221"/>
      <c r="AA26" s="221"/>
    </row>
    <row r="27" spans="1:27">
      <c r="B27" s="249" t="str">
        <f>Inputs!B83</f>
        <v>Veterinary and Medical</v>
      </c>
      <c r="C27" s="241"/>
      <c r="D27" s="365">
        <f>Inputs!D83</f>
        <v>30</v>
      </c>
      <c r="E27" s="358" t="str">
        <f>Inputs!E83</f>
        <v>per animal</v>
      </c>
      <c r="F27" s="124">
        <f>Inputs!T83</f>
        <v>0</v>
      </c>
      <c r="G27" s="264"/>
      <c r="H27" s="599">
        <f t="shared" si="11"/>
        <v>0</v>
      </c>
      <c r="I27" s="439" t="str">
        <f t="shared" si="12"/>
        <v/>
      </c>
      <c r="K27" s="416"/>
      <c r="L27" s="416"/>
      <c r="M27" s="416"/>
      <c r="N27" s="416"/>
      <c r="O27" s="416"/>
      <c r="P27" s="416"/>
      <c r="Q27" s="416"/>
      <c r="R27" s="416"/>
      <c r="S27" s="416"/>
      <c r="T27" s="416"/>
      <c r="U27" s="416"/>
      <c r="V27" s="416"/>
      <c r="W27" s="416"/>
      <c r="Y27" s="221"/>
      <c r="Z27" s="221"/>
      <c r="AA27" s="221"/>
    </row>
    <row r="28" spans="1:27">
      <c r="B28" s="249" t="str">
        <f>Inputs!B90</f>
        <v>Feedlot Marketing</v>
      </c>
      <c r="C28" s="274"/>
      <c r="D28" s="365">
        <f>Inputs!X90</f>
        <v>0</v>
      </c>
      <c r="E28" s="358" t="s">
        <v>60</v>
      </c>
      <c r="F28" s="124"/>
      <c r="G28" s="264"/>
      <c r="H28" s="365">
        <f>Inputs!Z90</f>
        <v>0</v>
      </c>
      <c r="I28" s="439" t="str">
        <f t="shared" si="12"/>
        <v/>
      </c>
      <c r="K28" s="416"/>
      <c r="L28" s="416"/>
      <c r="M28" s="416"/>
      <c r="N28" s="416"/>
      <c r="O28" s="416"/>
      <c r="P28" s="416"/>
      <c r="Q28" s="416"/>
      <c r="R28" s="416"/>
      <c r="S28" s="416"/>
      <c r="T28" s="416"/>
      <c r="U28" s="416"/>
      <c r="V28" s="416"/>
      <c r="W28" s="416"/>
      <c r="Y28" s="221"/>
      <c r="Z28" s="221"/>
      <c r="AA28" s="221"/>
    </row>
    <row r="29" spans="1:27" hidden="1">
      <c r="B29" s="283">
        <f>Inputs!B91</f>
        <v>0</v>
      </c>
      <c r="C29" s="251"/>
      <c r="D29" s="365">
        <f>Inputs!D91</f>
        <v>0</v>
      </c>
      <c r="E29" s="358">
        <f>Inputs!E91</f>
        <v>0</v>
      </c>
      <c r="F29" s="124">
        <f>Inputs!T91</f>
        <v>0</v>
      </c>
      <c r="G29" s="264"/>
      <c r="H29" s="599">
        <f t="shared" si="11"/>
        <v>0</v>
      </c>
      <c r="I29" s="439" t="str">
        <f t="shared" si="12"/>
        <v/>
      </c>
      <c r="K29" s="416"/>
      <c r="L29" s="416"/>
      <c r="M29" s="416"/>
      <c r="N29" s="416"/>
      <c r="O29" s="416"/>
      <c r="P29" s="416"/>
      <c r="Q29" s="416"/>
      <c r="R29" s="416"/>
      <c r="S29" s="416"/>
      <c r="T29" s="416"/>
      <c r="U29" s="416"/>
      <c r="V29" s="416"/>
      <c r="W29" s="416"/>
      <c r="Y29" s="221"/>
      <c r="Z29" s="221"/>
      <c r="AA29" s="221"/>
    </row>
    <row r="30" spans="1:27" hidden="1">
      <c r="B30" s="283">
        <f>Inputs!B92</f>
        <v>0</v>
      </c>
      <c r="C30" s="251" t="s">
        <v>9</v>
      </c>
      <c r="D30" s="365">
        <f>Inputs!D92</f>
        <v>0</v>
      </c>
      <c r="E30" s="358">
        <f>Inputs!E92</f>
        <v>0</v>
      </c>
      <c r="F30" s="124">
        <f>Inputs!T92</f>
        <v>0</v>
      </c>
      <c r="G30" s="264"/>
      <c r="H30" s="599">
        <f t="shared" si="11"/>
        <v>0</v>
      </c>
      <c r="I30" s="439" t="str">
        <f t="shared" si="12"/>
        <v/>
      </c>
      <c r="K30" s="416"/>
      <c r="L30" s="416"/>
      <c r="M30" s="416"/>
      <c r="N30" s="416"/>
      <c r="O30" s="416"/>
      <c r="P30" s="416"/>
      <c r="Q30" s="416"/>
      <c r="R30" s="416"/>
      <c r="S30" s="416"/>
      <c r="T30" s="416"/>
      <c r="U30" s="416"/>
      <c r="V30" s="416"/>
      <c r="W30" s="416"/>
      <c r="Y30" s="221"/>
      <c r="Z30" s="221"/>
      <c r="AA30" s="221"/>
    </row>
    <row r="31" spans="1:27" hidden="1">
      <c r="B31" s="283">
        <f>Inputs!B93</f>
        <v>0</v>
      </c>
      <c r="C31" s="251" t="s">
        <v>9</v>
      </c>
      <c r="D31" s="365">
        <f>Inputs!D93</f>
        <v>0</v>
      </c>
      <c r="E31" s="358">
        <f>Inputs!E93</f>
        <v>0</v>
      </c>
      <c r="F31" s="124">
        <f>Inputs!T93</f>
        <v>0</v>
      </c>
      <c r="G31" s="264"/>
      <c r="H31" s="599">
        <f t="shared" si="11"/>
        <v>0</v>
      </c>
      <c r="I31" s="439" t="str">
        <f t="shared" si="12"/>
        <v/>
      </c>
      <c r="K31" s="416"/>
      <c r="L31" s="416"/>
      <c r="M31" s="416"/>
      <c r="N31" s="416"/>
      <c r="O31" s="416"/>
      <c r="P31" s="416"/>
      <c r="Q31" s="416"/>
      <c r="R31" s="416"/>
      <c r="S31" s="416"/>
      <c r="T31" s="416"/>
      <c r="U31" s="416"/>
      <c r="V31" s="416"/>
      <c r="W31" s="416"/>
      <c r="Y31" s="221"/>
      <c r="Z31" s="221"/>
      <c r="AA31" s="221"/>
    </row>
    <row r="32" spans="1:27" hidden="1">
      <c r="B32" s="283">
        <f>Inputs!B94</f>
        <v>0</v>
      </c>
      <c r="C32" s="251"/>
      <c r="D32" s="365">
        <f>Inputs!D94</f>
        <v>0</v>
      </c>
      <c r="E32" s="358">
        <f>Inputs!E94</f>
        <v>0</v>
      </c>
      <c r="F32" s="124">
        <f>Inputs!T94</f>
        <v>0</v>
      </c>
      <c r="G32" s="264"/>
      <c r="H32" s="599">
        <f t="shared" si="11"/>
        <v>0</v>
      </c>
      <c r="I32" s="439" t="str">
        <f t="shared" si="12"/>
        <v/>
      </c>
      <c r="K32" s="416"/>
      <c r="L32" s="416"/>
      <c r="M32" s="416"/>
      <c r="N32" s="416"/>
      <c r="O32" s="416"/>
      <c r="P32" s="416"/>
      <c r="Q32" s="416"/>
      <c r="R32" s="416"/>
      <c r="S32" s="416"/>
      <c r="T32" s="416"/>
      <c r="U32" s="416"/>
      <c r="V32" s="416"/>
      <c r="W32" s="416"/>
      <c r="Y32" s="221"/>
      <c r="Z32" s="221"/>
      <c r="AA32" s="221"/>
    </row>
    <row r="33" spans="2:27" hidden="1">
      <c r="B33" s="283">
        <f>Inputs!B95</f>
        <v>0</v>
      </c>
      <c r="C33" s="251" t="s">
        <v>9</v>
      </c>
      <c r="D33" s="365">
        <f>Inputs!D95</f>
        <v>0</v>
      </c>
      <c r="E33" s="358">
        <f>Inputs!E95</f>
        <v>0</v>
      </c>
      <c r="F33" s="124">
        <f>Inputs!T95</f>
        <v>0</v>
      </c>
      <c r="G33" s="264"/>
      <c r="H33" s="599">
        <f t="shared" si="11"/>
        <v>0</v>
      </c>
      <c r="I33" s="439" t="str">
        <f t="shared" si="12"/>
        <v/>
      </c>
      <c r="K33" s="416"/>
      <c r="L33" s="416"/>
      <c r="M33" s="416"/>
      <c r="N33" s="416"/>
      <c r="O33" s="416"/>
      <c r="P33" s="416"/>
      <c r="Q33" s="416"/>
      <c r="R33" s="416"/>
      <c r="S33" s="416"/>
      <c r="T33" s="416"/>
      <c r="U33" s="416"/>
      <c r="V33" s="416"/>
      <c r="W33" s="416"/>
      <c r="Y33" s="221"/>
      <c r="Z33" s="221"/>
      <c r="AA33" s="221"/>
    </row>
    <row r="34" spans="2:27" ht="27" customHeight="1" thickBot="1">
      <c r="B34" s="172" t="s">
        <v>36</v>
      </c>
      <c r="C34" s="834" t="s">
        <v>117</v>
      </c>
      <c r="D34" s="835"/>
      <c r="E34" s="835"/>
      <c r="F34" s="835"/>
      <c r="G34" s="836"/>
      <c r="H34" s="448">
        <f>(SUM(H22,H25:H27,H29:H33,D40:D48)/2+H13)*Inputs!E111*E1/365</f>
        <v>0</v>
      </c>
      <c r="I34" s="447" t="str">
        <f>IF(B34="","",IF(($C$4+$C$5)=0,"",H34/($C$4+$C$5)))</f>
        <v/>
      </c>
      <c r="K34" s="416"/>
      <c r="L34" s="416"/>
      <c r="M34" s="416"/>
      <c r="N34" s="416"/>
      <c r="O34" s="416"/>
      <c r="P34" s="416"/>
      <c r="Q34" s="416"/>
      <c r="R34" s="416"/>
      <c r="S34" s="416"/>
      <c r="T34" s="416"/>
      <c r="U34" s="416"/>
      <c r="V34" s="416"/>
      <c r="W34" s="416"/>
      <c r="Y34" s="221"/>
      <c r="Z34" s="221"/>
      <c r="AA34" s="221"/>
    </row>
    <row r="35" spans="2:27" ht="14.25" thickTop="1" thickBot="1">
      <c r="B35" s="252"/>
      <c r="C35" s="243"/>
      <c r="D35" s="258"/>
      <c r="E35" s="258"/>
      <c r="F35" s="281"/>
      <c r="G35" s="258" t="s">
        <v>144</v>
      </c>
      <c r="H35" s="600">
        <f>SUM(H25:H34)</f>
        <v>0</v>
      </c>
      <c r="I35" s="561">
        <f>SUM(I25:I34)</f>
        <v>0</v>
      </c>
      <c r="K35" s="416"/>
      <c r="L35" s="416"/>
      <c r="M35" s="416"/>
      <c r="N35" s="416"/>
      <c r="O35" s="416"/>
      <c r="P35" s="416"/>
      <c r="Q35" s="416"/>
      <c r="R35" s="416"/>
      <c r="S35" s="416"/>
      <c r="T35" s="416"/>
      <c r="U35" s="416"/>
      <c r="V35" s="416"/>
      <c r="W35" s="416"/>
      <c r="Y35" s="221"/>
      <c r="Z35" s="221"/>
      <c r="AA35" s="221"/>
    </row>
    <row r="36" spans="2:27" ht="13.5" thickBot="1">
      <c r="B36" s="123"/>
      <c r="C36" s="96"/>
      <c r="D36" s="42"/>
      <c r="E36" s="42"/>
      <c r="F36" s="42"/>
      <c r="G36" s="21" t="s">
        <v>103</v>
      </c>
      <c r="H36" s="601">
        <f>H13+H22+H35</f>
        <v>0</v>
      </c>
      <c r="I36" s="618">
        <f>I13+I22+I35</f>
        <v>0</v>
      </c>
      <c r="K36" s="416"/>
      <c r="L36" s="416"/>
      <c r="M36" s="416"/>
      <c r="N36" s="416"/>
      <c r="O36" s="416"/>
      <c r="P36" s="416"/>
      <c r="Q36" s="416"/>
      <c r="R36" s="416"/>
      <c r="S36" s="416"/>
      <c r="T36" s="416"/>
      <c r="U36" s="416"/>
      <c r="V36" s="416"/>
      <c r="W36" s="416"/>
      <c r="Y36" s="221"/>
      <c r="Z36" s="221"/>
      <c r="AA36" s="221"/>
    </row>
    <row r="37" spans="2:27" ht="13.5" thickBot="1">
      <c r="B37" s="250"/>
      <c r="C37" s="250"/>
      <c r="D37" s="250"/>
      <c r="E37" s="250"/>
      <c r="F37" s="257"/>
      <c r="G37" s="257"/>
      <c r="H37" s="602"/>
      <c r="I37" s="619" t="str">
        <f>IF(H37=0,"",H37/$C$5)</f>
        <v/>
      </c>
      <c r="Y37" s="221"/>
      <c r="Z37" s="221"/>
      <c r="AA37" s="221"/>
    </row>
    <row r="38" spans="2:27" ht="26.25" thickBot="1">
      <c r="B38" s="41" t="s">
        <v>108</v>
      </c>
      <c r="C38" s="108"/>
      <c r="D38" s="109"/>
      <c r="E38" s="109"/>
      <c r="F38" s="109"/>
      <c r="G38" s="109"/>
      <c r="H38" s="592" t="s">
        <v>73</v>
      </c>
      <c r="I38" s="611" t="s">
        <v>93</v>
      </c>
      <c r="Y38" s="221"/>
      <c r="Z38" s="221"/>
      <c r="AA38" s="221"/>
    </row>
    <row r="39" spans="2:27">
      <c r="B39" s="262" t="s">
        <v>38</v>
      </c>
      <c r="C39" s="242"/>
      <c r="D39" s="363" t="s">
        <v>14</v>
      </c>
      <c r="E39" s="363"/>
      <c r="F39" s="363" t="s">
        <v>47</v>
      </c>
      <c r="G39" s="265"/>
      <c r="H39" s="603" t="s">
        <v>30</v>
      </c>
      <c r="I39" s="620" t="s">
        <v>30</v>
      </c>
      <c r="Y39" s="221"/>
      <c r="Z39" s="221"/>
      <c r="AA39" s="221"/>
    </row>
    <row r="40" spans="2:27">
      <c r="B40" s="249" t="str">
        <f>Inputs!B100</f>
        <v>Machinery (Livestock)</v>
      </c>
      <c r="C40" s="242"/>
      <c r="D40" s="365">
        <f>Inputs!G100</f>
        <v>2000</v>
      </c>
      <c r="E40" s="255"/>
      <c r="F40" s="263">
        <f>IF(D40=0,0,Inputs!T100)</f>
        <v>0</v>
      </c>
      <c r="G40" s="271"/>
      <c r="H40" s="445">
        <f>IF(B40="","",D40*F40)</f>
        <v>0</v>
      </c>
      <c r="I40" s="439" t="str">
        <f>IF(B40="","",IF(($C$4+$C$5)=0,"",H40/($C$4+$C$5)))</f>
        <v/>
      </c>
      <c r="Y40" s="221"/>
      <c r="Z40" s="221"/>
      <c r="AA40" s="221"/>
    </row>
    <row r="41" spans="2:27">
      <c r="B41" s="249" t="str">
        <f>Inputs!B101</f>
        <v>Vehicles</v>
      </c>
      <c r="C41" s="242"/>
      <c r="D41" s="365">
        <f>Inputs!G101</f>
        <v>1000</v>
      </c>
      <c r="E41" s="255"/>
      <c r="F41" s="263">
        <f>IF(D41=0,0,Inputs!T101)</f>
        <v>0</v>
      </c>
      <c r="G41" s="271"/>
      <c r="H41" s="445">
        <f t="shared" ref="H41:H48" si="13">IF(B41="","",D41*F41)</f>
        <v>0</v>
      </c>
      <c r="I41" s="439" t="str">
        <f t="shared" ref="I41:I48" si="14">IF(B41="","",IF(($C$4+$C$5)=0,"",H41/($C$4+$C$5)))</f>
        <v/>
      </c>
      <c r="Y41" s="221"/>
      <c r="Z41" s="221"/>
      <c r="AA41" s="221"/>
    </row>
    <row r="42" spans="2:27">
      <c r="B42" s="283" t="str">
        <f>Inputs!B102</f>
        <v>Barn</v>
      </c>
      <c r="C42" s="250"/>
      <c r="D42" s="365">
        <f>Inputs!G102</f>
        <v>500</v>
      </c>
      <c r="E42" s="255"/>
      <c r="F42" s="263">
        <f>IF(D42=0,0,Inputs!T102)</f>
        <v>0</v>
      </c>
      <c r="G42" s="271"/>
      <c r="H42" s="445">
        <f t="shared" si="13"/>
        <v>0</v>
      </c>
      <c r="I42" s="439" t="str">
        <f t="shared" si="14"/>
        <v/>
      </c>
      <c r="Y42" s="221"/>
      <c r="Z42" s="221"/>
      <c r="AA42" s="221"/>
    </row>
    <row r="43" spans="2:27">
      <c r="B43" s="283">
        <f>Inputs!B103</f>
        <v>0</v>
      </c>
      <c r="C43" s="250"/>
      <c r="D43" s="365">
        <f>Inputs!G103</f>
        <v>0</v>
      </c>
      <c r="E43" s="255"/>
      <c r="F43" s="263">
        <f>IF(D43=0,0,Inputs!T103)</f>
        <v>0</v>
      </c>
      <c r="G43" s="271"/>
      <c r="H43" s="445">
        <f t="shared" si="13"/>
        <v>0</v>
      </c>
      <c r="I43" s="439" t="str">
        <f t="shared" si="14"/>
        <v/>
      </c>
      <c r="Y43" s="221"/>
      <c r="Z43" s="221"/>
      <c r="AA43" s="221"/>
    </row>
    <row r="44" spans="2:27" hidden="1">
      <c r="B44" s="283">
        <f>Inputs!B104</f>
        <v>0</v>
      </c>
      <c r="C44" s="250"/>
      <c r="D44" s="365">
        <f>Inputs!G104</f>
        <v>0</v>
      </c>
      <c r="E44" s="255"/>
      <c r="F44" s="263">
        <f>IF(D44=0,0,Inputs!T104)</f>
        <v>0</v>
      </c>
      <c r="G44" s="271"/>
      <c r="H44" s="445">
        <f t="shared" si="13"/>
        <v>0</v>
      </c>
      <c r="I44" s="439" t="str">
        <f t="shared" si="14"/>
        <v/>
      </c>
      <c r="Y44" s="221"/>
      <c r="Z44" s="221"/>
      <c r="AA44" s="221"/>
    </row>
    <row r="45" spans="2:27" hidden="1">
      <c r="B45" s="283">
        <f>Inputs!B105</f>
        <v>0</v>
      </c>
      <c r="C45" s="250"/>
      <c r="D45" s="365">
        <f>Inputs!G105</f>
        <v>0</v>
      </c>
      <c r="E45" s="255"/>
      <c r="F45" s="263">
        <f>IF(D45=0,0,Inputs!T105)</f>
        <v>0</v>
      </c>
      <c r="G45" s="271"/>
      <c r="H45" s="445">
        <f t="shared" si="13"/>
        <v>0</v>
      </c>
      <c r="I45" s="439" t="str">
        <f t="shared" si="14"/>
        <v/>
      </c>
      <c r="Y45" s="221"/>
      <c r="Z45" s="221"/>
      <c r="AA45" s="221"/>
    </row>
    <row r="46" spans="2:27" hidden="1">
      <c r="B46" s="283">
        <f>Inputs!B106</f>
        <v>0</v>
      </c>
      <c r="C46" s="250"/>
      <c r="D46" s="365">
        <f>Inputs!G106</f>
        <v>0</v>
      </c>
      <c r="E46" s="255"/>
      <c r="F46" s="263">
        <f>IF(D46=0,0,Inputs!T106)</f>
        <v>0</v>
      </c>
      <c r="G46" s="271"/>
      <c r="H46" s="445">
        <f t="shared" si="13"/>
        <v>0</v>
      </c>
      <c r="I46" s="439" t="str">
        <f t="shared" si="14"/>
        <v/>
      </c>
      <c r="Y46" s="221"/>
      <c r="Z46" s="221"/>
      <c r="AA46" s="221"/>
    </row>
    <row r="47" spans="2:27" hidden="1">
      <c r="B47" s="283">
        <f>Inputs!B107</f>
        <v>0</v>
      </c>
      <c r="C47" s="250"/>
      <c r="D47" s="365">
        <f>Inputs!G107</f>
        <v>0</v>
      </c>
      <c r="E47" s="255"/>
      <c r="F47" s="263">
        <f>IF(D47=0,0,Inputs!T107)</f>
        <v>0</v>
      </c>
      <c r="G47" s="271"/>
      <c r="H47" s="445">
        <f t="shared" si="13"/>
        <v>0</v>
      </c>
      <c r="I47" s="439" t="str">
        <f t="shared" si="14"/>
        <v/>
      </c>
      <c r="Y47" s="221"/>
      <c r="Z47" s="221"/>
      <c r="AA47" s="221"/>
    </row>
    <row r="48" spans="2:27" ht="13.5" thickBot="1">
      <c r="B48" s="283">
        <f>Inputs!B108</f>
        <v>0</v>
      </c>
      <c r="C48" s="250"/>
      <c r="D48" s="365">
        <f>Inputs!G108</f>
        <v>0</v>
      </c>
      <c r="E48" s="255"/>
      <c r="F48" s="263">
        <f>IF(D48=0,0,Inputs!T108)</f>
        <v>0</v>
      </c>
      <c r="G48" s="271"/>
      <c r="H48" s="450">
        <f t="shared" si="13"/>
        <v>0</v>
      </c>
      <c r="I48" s="440" t="str">
        <f t="shared" si="14"/>
        <v/>
      </c>
      <c r="Y48" s="221"/>
      <c r="Z48" s="221"/>
      <c r="AA48" s="221"/>
    </row>
    <row r="49" spans="1:45" ht="13.5" thickTop="1">
      <c r="B49" s="249"/>
      <c r="C49" s="242"/>
      <c r="D49" s="238"/>
      <c r="E49" s="92"/>
      <c r="F49" s="92"/>
      <c r="G49" s="126" t="s">
        <v>111</v>
      </c>
      <c r="H49" s="604">
        <f>SUM(H40:H48)</f>
        <v>0</v>
      </c>
      <c r="I49" s="441">
        <f>SUM(I40:I48)</f>
        <v>0</v>
      </c>
      <c r="Y49" s="221"/>
      <c r="Z49" s="221"/>
      <c r="AA49" s="221"/>
    </row>
    <row r="50" spans="1:45">
      <c r="B50" s="249"/>
      <c r="C50" s="242"/>
      <c r="D50" s="250"/>
      <c r="E50" s="250"/>
      <c r="F50" s="250"/>
      <c r="G50" s="250"/>
      <c r="H50" s="442"/>
      <c r="I50" s="470" t="str">
        <f>IF(H50=0,"",H50/$C$5)</f>
        <v/>
      </c>
      <c r="Y50" s="221"/>
      <c r="Z50" s="221"/>
      <c r="AA50" s="221"/>
    </row>
    <row r="51" spans="1:45">
      <c r="B51" s="262" t="s">
        <v>53</v>
      </c>
      <c r="C51" s="242"/>
      <c r="D51" s="363" t="s">
        <v>55</v>
      </c>
      <c r="E51" s="250"/>
      <c r="F51" s="363" t="s">
        <v>47</v>
      </c>
      <c r="G51" s="264"/>
      <c r="H51" s="527" t="s">
        <v>30</v>
      </c>
      <c r="I51" s="615" t="s">
        <v>30</v>
      </c>
      <c r="Y51" s="221"/>
      <c r="Z51" s="221"/>
      <c r="AA51" s="221"/>
    </row>
    <row r="52" spans="1:45">
      <c r="B52" s="249" t="str">
        <f>Inputs!B117</f>
        <v>Real Estate Tax</v>
      </c>
      <c r="C52" s="242"/>
      <c r="D52" s="110">
        <f>Inputs!E117</f>
        <v>0</v>
      </c>
      <c r="E52" s="250"/>
      <c r="F52" s="278">
        <f>IF(D52=0,0,Inputs!T117)</f>
        <v>0</v>
      </c>
      <c r="G52" s="264"/>
      <c r="H52" s="445">
        <f>F52*Inputs!E117</f>
        <v>0</v>
      </c>
      <c r="I52" s="439" t="str">
        <f>IF(B52="","",IF(($C$4+$C$5)=0,"",H52/($C$4+$C$5)))</f>
        <v/>
      </c>
      <c r="Y52" s="221"/>
      <c r="Z52" s="221"/>
      <c r="AA52" s="221"/>
    </row>
    <row r="53" spans="1:45">
      <c r="B53" s="249" t="str">
        <f>Inputs!B118</f>
        <v>Annual Insurance Premium</v>
      </c>
      <c r="C53" s="242"/>
      <c r="D53" s="110">
        <f>Inputs!E118</f>
        <v>1500</v>
      </c>
      <c r="E53" s="250"/>
      <c r="F53" s="278">
        <f>IF(D53=0,0,Inputs!T118)</f>
        <v>0</v>
      </c>
      <c r="G53" s="264"/>
      <c r="H53" s="445">
        <f>F53*Inputs!E118</f>
        <v>0</v>
      </c>
      <c r="I53" s="439" t="str">
        <f>IF(B53="","",IF(($C$4+$C$5)=0,"",H53/($C$4+$C$5)))</f>
        <v/>
      </c>
      <c r="Y53" s="221"/>
      <c r="Z53" s="221"/>
      <c r="AA53" s="221"/>
    </row>
    <row r="54" spans="1:45">
      <c r="B54" s="249" t="str">
        <f>Inputs!B119</f>
        <v>Professional Fees</v>
      </c>
      <c r="C54" s="242"/>
      <c r="D54" s="110">
        <f>Inputs!E119</f>
        <v>750</v>
      </c>
      <c r="E54" s="250"/>
      <c r="F54" s="278">
        <f>IF(D54=0,0,Inputs!T119)</f>
        <v>0</v>
      </c>
      <c r="G54" s="264"/>
      <c r="H54" s="445">
        <f>F54*Inputs!E119</f>
        <v>0</v>
      </c>
      <c r="I54" s="439" t="str">
        <f>IF(B54="","",IF(($C$4+$C$5)=0,"",H54/($C$4+$C$5)))</f>
        <v/>
      </c>
      <c r="Y54" s="221"/>
      <c r="Z54" s="221"/>
      <c r="AA54" s="221"/>
    </row>
    <row r="55" spans="1:45">
      <c r="B55" s="249" t="str">
        <f>Inputs!B120</f>
        <v>Annual Management Charge</v>
      </c>
      <c r="C55" s="242"/>
      <c r="D55" s="110">
        <f>Inputs!E120</f>
        <v>0</v>
      </c>
      <c r="E55" s="250"/>
      <c r="F55" s="278">
        <f>IF(D55=0,0,Inputs!T120)</f>
        <v>0</v>
      </c>
      <c r="G55" s="264"/>
      <c r="H55" s="445">
        <f>F55*Inputs!E120</f>
        <v>0</v>
      </c>
      <c r="I55" s="439" t="str">
        <f>IF(B55="","",IF(($C$4+$C$5)=0,"",H55/($C$4+$C$5)))</f>
        <v/>
      </c>
      <c r="Y55" s="221"/>
      <c r="Z55" s="221"/>
      <c r="AA55" s="221"/>
    </row>
    <row r="56" spans="1:45" ht="13.5" thickBot="1">
      <c r="B56" s="249" t="str">
        <f>Inputs!B121</f>
        <v>Other</v>
      </c>
      <c r="C56" s="242"/>
      <c r="D56" s="110">
        <f>Inputs!E121</f>
        <v>0</v>
      </c>
      <c r="E56" s="250"/>
      <c r="F56" s="278">
        <f>IF(D56=0,0,Inputs!T121)</f>
        <v>0</v>
      </c>
      <c r="G56" s="264"/>
      <c r="H56" s="450">
        <f>F56*Inputs!E121</f>
        <v>0</v>
      </c>
      <c r="I56" s="440" t="str">
        <f>IF(B56="","",IF(($C$4+$C$5)=0,"",H56/($C$4+$C$5)))</f>
        <v/>
      </c>
      <c r="Y56" s="221"/>
      <c r="Z56" s="221"/>
      <c r="AA56" s="221"/>
    </row>
    <row r="57" spans="1:45" ht="14.25" thickTop="1" thickBot="1">
      <c r="B57" s="252"/>
      <c r="C57" s="243"/>
      <c r="D57" s="253"/>
      <c r="E57" s="253"/>
      <c r="F57" s="238"/>
      <c r="G57" s="258" t="s">
        <v>42</v>
      </c>
      <c r="H57" s="443">
        <f>SUM(H52:H56)</f>
        <v>0</v>
      </c>
      <c r="I57" s="444">
        <f>SUM(I52:I56)</f>
        <v>0</v>
      </c>
      <c r="K57" s="223"/>
      <c r="Y57" s="221"/>
      <c r="Z57" s="221"/>
      <c r="AA57" s="221"/>
    </row>
    <row r="58" spans="1:45" ht="13.5" thickBot="1">
      <c r="B58" s="99">
        <v>217480.06701030929</v>
      </c>
      <c r="C58" s="96"/>
      <c r="D58" s="42"/>
      <c r="E58" s="42"/>
      <c r="F58" s="42"/>
      <c r="G58" s="21" t="s">
        <v>102</v>
      </c>
      <c r="H58" s="601">
        <f>H49+H57</f>
        <v>0</v>
      </c>
      <c r="I58" s="621">
        <f>I49+I57</f>
        <v>0</v>
      </c>
      <c r="J58" s="160"/>
      <c r="Y58" s="221"/>
      <c r="Z58" s="221"/>
      <c r="AA58" s="221"/>
    </row>
    <row r="59" spans="1:45" ht="13.5" thickBot="1">
      <c r="B59" s="43"/>
      <c r="C59" s="43"/>
      <c r="D59" s="43"/>
      <c r="E59" s="43"/>
      <c r="F59" s="43"/>
      <c r="G59" s="43"/>
      <c r="H59" s="446"/>
      <c r="I59" s="610" t="str">
        <f>IF(H59=0,"",H59/$C$5)</f>
        <v/>
      </c>
      <c r="Y59" s="221"/>
      <c r="Z59" s="221"/>
      <c r="AA59" s="221"/>
    </row>
    <row r="60" spans="1:45" ht="13.5" thickBot="1">
      <c r="B60" s="98"/>
      <c r="C60" s="96"/>
      <c r="D60" s="67"/>
      <c r="E60" s="67"/>
      <c r="F60" s="67"/>
      <c r="G60" s="21" t="s">
        <v>110</v>
      </c>
      <c r="H60" s="601">
        <f>H36+H58</f>
        <v>0</v>
      </c>
      <c r="I60" s="621">
        <f>I36+I58</f>
        <v>0</v>
      </c>
      <c r="Y60" s="221"/>
      <c r="Z60" s="221"/>
      <c r="AA60" s="221"/>
    </row>
    <row r="61" spans="1:45" ht="13.5" thickBot="1">
      <c r="B61" s="104"/>
      <c r="C61" s="104"/>
      <c r="D61" s="104"/>
      <c r="E61" s="104"/>
      <c r="F61" s="104"/>
      <c r="G61" s="104"/>
      <c r="H61" s="605"/>
      <c r="I61" s="622"/>
      <c r="Y61" s="221"/>
      <c r="Z61" s="221"/>
      <c r="AA61" s="221"/>
    </row>
    <row r="62" spans="1:45" ht="13.5" thickBot="1">
      <c r="B62" s="98"/>
      <c r="C62" s="96"/>
      <c r="D62" s="67"/>
      <c r="E62" s="67"/>
      <c r="F62" s="67"/>
      <c r="G62" s="21" t="s">
        <v>104</v>
      </c>
      <c r="H62" s="601">
        <f>H7-H60</f>
        <v>0</v>
      </c>
      <c r="I62" s="623">
        <f>I7-I60</f>
        <v>0</v>
      </c>
      <c r="Y62" s="221"/>
      <c r="Z62" s="221"/>
      <c r="AA62" s="221"/>
    </row>
    <row r="63" spans="1:45" s="216" customFormat="1" ht="13.5" thickBot="1">
      <c r="A63" s="276"/>
      <c r="B63" s="250"/>
      <c r="C63" s="250"/>
      <c r="D63" s="250"/>
      <c r="E63" s="250"/>
      <c r="F63" s="43"/>
      <c r="G63" s="43"/>
      <c r="H63" s="591"/>
      <c r="I63" s="610"/>
      <c r="J63" s="222"/>
      <c r="K63" s="222"/>
      <c r="L63" s="222"/>
      <c r="M63" s="222"/>
      <c r="N63" s="222"/>
      <c r="O63" s="222"/>
      <c r="P63" s="222"/>
      <c r="Q63" s="222"/>
      <c r="R63" s="222"/>
      <c r="S63" s="222"/>
      <c r="T63" s="222"/>
      <c r="U63" s="222"/>
      <c r="V63" s="222"/>
      <c r="W63" s="222"/>
      <c r="X63" s="222"/>
      <c r="Y63" s="221"/>
      <c r="Z63" s="221"/>
      <c r="AA63" s="221"/>
      <c r="AB63" s="276"/>
      <c r="AC63" s="276"/>
      <c r="AD63" s="276"/>
      <c r="AE63" s="276"/>
      <c r="AF63" s="276"/>
      <c r="AG63" s="276"/>
      <c r="AH63" s="276"/>
      <c r="AI63" s="276"/>
      <c r="AJ63" s="276"/>
      <c r="AK63" s="276"/>
      <c r="AL63" s="276"/>
      <c r="AM63" s="276"/>
      <c r="AN63" s="276"/>
      <c r="AO63" s="276"/>
      <c r="AP63" s="276"/>
      <c r="AQ63" s="276"/>
      <c r="AR63" s="276"/>
      <c r="AS63" s="276"/>
    </row>
    <row r="64" spans="1:45" s="216" customFormat="1" ht="26.25" thickBot="1">
      <c r="A64" s="155"/>
      <c r="B64" s="41" t="s">
        <v>97</v>
      </c>
      <c r="C64" s="108"/>
      <c r="D64" s="109"/>
      <c r="E64" s="109"/>
      <c r="F64" s="109"/>
      <c r="G64" s="109"/>
      <c r="H64" s="606" t="s">
        <v>73</v>
      </c>
      <c r="I64" s="624" t="s">
        <v>93</v>
      </c>
      <c r="J64" s="222"/>
      <c r="K64" s="222"/>
      <c r="L64" s="222"/>
      <c r="M64" s="222"/>
      <c r="N64" s="222"/>
      <c r="O64" s="222"/>
      <c r="P64" s="222"/>
      <c r="Q64" s="222"/>
      <c r="R64" s="222"/>
      <c r="S64" s="222"/>
      <c r="T64" s="222"/>
      <c r="U64" s="222"/>
      <c r="V64" s="222"/>
      <c r="W64" s="222"/>
      <c r="X64" s="222"/>
      <c r="Y64" s="221"/>
      <c r="Z64" s="221"/>
      <c r="AA64" s="221"/>
      <c r="AB64" s="276"/>
      <c r="AC64" s="276"/>
      <c r="AD64" s="276"/>
      <c r="AE64" s="276"/>
      <c r="AF64" s="276"/>
      <c r="AG64" s="276"/>
      <c r="AH64" s="276"/>
      <c r="AI64" s="276"/>
      <c r="AJ64" s="276"/>
      <c r="AK64" s="276"/>
      <c r="AL64" s="276"/>
      <c r="AM64" s="276"/>
      <c r="AN64" s="276"/>
      <c r="AO64" s="276"/>
      <c r="AP64" s="276"/>
      <c r="AQ64" s="276"/>
      <c r="AR64" s="276"/>
      <c r="AS64" s="276"/>
    </row>
    <row r="65" spans="1:45" s="216" customFormat="1" ht="25.5">
      <c r="A65" s="276"/>
      <c r="B65" s="262" t="s">
        <v>113</v>
      </c>
      <c r="C65" s="242"/>
      <c r="D65" s="363" t="s">
        <v>45</v>
      </c>
      <c r="E65" s="359" t="s">
        <v>54</v>
      </c>
      <c r="F65" s="363" t="s">
        <v>47</v>
      </c>
      <c r="G65" s="363"/>
      <c r="H65" s="527" t="s">
        <v>30</v>
      </c>
      <c r="I65" s="615" t="s">
        <v>30</v>
      </c>
      <c r="J65" s="222"/>
      <c r="K65" s="222"/>
      <c r="L65" s="222"/>
      <c r="M65" s="222"/>
      <c r="N65" s="222"/>
      <c r="O65" s="222"/>
      <c r="P65" s="222"/>
      <c r="Q65" s="222"/>
      <c r="R65" s="222"/>
      <c r="S65" s="222"/>
      <c r="T65" s="222"/>
      <c r="U65" s="222"/>
      <c r="V65" s="222"/>
      <c r="W65" s="222"/>
      <c r="X65" s="222"/>
      <c r="Y65" s="221"/>
      <c r="Z65" s="221"/>
      <c r="AA65" s="221"/>
      <c r="AB65" s="276"/>
      <c r="AC65" s="276"/>
      <c r="AD65" s="276"/>
      <c r="AE65" s="276"/>
      <c r="AF65" s="276"/>
      <c r="AG65" s="276"/>
      <c r="AH65" s="276"/>
      <c r="AI65" s="276"/>
      <c r="AJ65" s="276"/>
      <c r="AK65" s="276"/>
      <c r="AL65" s="276"/>
      <c r="AM65" s="276"/>
      <c r="AN65" s="276"/>
      <c r="AO65" s="276"/>
      <c r="AP65" s="276"/>
      <c r="AQ65" s="276"/>
      <c r="AR65" s="276"/>
      <c r="AS65" s="276"/>
    </row>
    <row r="66" spans="1:45" s="216" customFormat="1">
      <c r="A66" s="276"/>
      <c r="B66" s="249" t="str">
        <f>Inputs!B100</f>
        <v>Machinery (Livestock)</v>
      </c>
      <c r="C66" s="242"/>
      <c r="D66" s="365">
        <f>IF(Inputs!F100=0,0,(Inputs!D100-Inputs!E100)/Inputs!F100)</f>
        <v>7500</v>
      </c>
      <c r="E66" s="364">
        <f>Inputs!D100*Inputs!$E$112</f>
        <v>3000</v>
      </c>
      <c r="F66" s="263">
        <f>IF(SUM(D66:E66)=0,0,Inputs!T100)</f>
        <v>0</v>
      </c>
      <c r="G66" s="255"/>
      <c r="H66" s="445">
        <f>(D66+E66)*F66</f>
        <v>0</v>
      </c>
      <c r="I66" s="439" t="str">
        <f t="shared" ref="I66:I75" si="15">IF(B66="","",IF(($C$4+$C$5)=0,"",H66/($C$4+$C$5)))</f>
        <v/>
      </c>
      <c r="J66" s="222"/>
      <c r="K66" s="222"/>
      <c r="L66" s="222"/>
      <c r="M66" s="222"/>
      <c r="N66" s="222"/>
      <c r="O66" s="222"/>
      <c r="P66" s="222"/>
      <c r="Q66" s="222"/>
      <c r="R66" s="222"/>
      <c r="S66" s="222"/>
      <c r="T66" s="222"/>
      <c r="U66" s="222"/>
      <c r="V66" s="222"/>
      <c r="W66" s="222"/>
      <c r="X66" s="222"/>
      <c r="Y66" s="221"/>
      <c r="Z66" s="221"/>
      <c r="AA66" s="221"/>
      <c r="AB66" s="276"/>
      <c r="AC66" s="276"/>
      <c r="AD66" s="276"/>
      <c r="AE66" s="276"/>
      <c r="AF66" s="276"/>
      <c r="AG66" s="276"/>
      <c r="AH66" s="276"/>
      <c r="AI66" s="276"/>
      <c r="AJ66" s="276"/>
      <c r="AK66" s="276"/>
      <c r="AL66" s="276"/>
      <c r="AM66" s="276"/>
      <c r="AN66" s="276"/>
      <c r="AO66" s="276"/>
      <c r="AP66" s="276"/>
      <c r="AQ66" s="276"/>
      <c r="AR66" s="276"/>
      <c r="AS66" s="276"/>
    </row>
    <row r="67" spans="1:45" s="216" customFormat="1">
      <c r="A67" s="276"/>
      <c r="B67" s="249" t="str">
        <f>Inputs!B101</f>
        <v>Vehicles</v>
      </c>
      <c r="C67" s="242"/>
      <c r="D67" s="365">
        <f>IF(Inputs!F101=0,0,(Inputs!D101-Inputs!E101)/Inputs!F101)</f>
        <v>2857.1428571428573</v>
      </c>
      <c r="E67" s="364">
        <f>Inputs!D101*Inputs!$E$112</f>
        <v>900</v>
      </c>
      <c r="F67" s="263">
        <f>IF(SUM(D67:E67)=0,0,Inputs!T101)</f>
        <v>0</v>
      </c>
      <c r="G67" s="255"/>
      <c r="H67" s="445">
        <f t="shared" ref="H67:H73" si="16">(D67+E67)*F67</f>
        <v>0</v>
      </c>
      <c r="I67" s="439" t="str">
        <f t="shared" si="15"/>
        <v/>
      </c>
      <c r="J67" s="222"/>
      <c r="K67" s="222"/>
      <c r="L67" s="222"/>
      <c r="M67" s="222"/>
      <c r="N67" s="222"/>
      <c r="O67" s="222"/>
      <c r="P67" s="222"/>
      <c r="Q67" s="222"/>
      <c r="R67" s="222"/>
      <c r="S67" s="222"/>
      <c r="T67" s="222"/>
      <c r="U67" s="222"/>
      <c r="V67" s="222"/>
      <c r="W67" s="222"/>
      <c r="X67" s="222"/>
      <c r="Y67" s="221"/>
      <c r="Z67" s="221"/>
      <c r="AA67" s="221"/>
      <c r="AB67" s="276"/>
      <c r="AC67" s="276"/>
      <c r="AD67" s="276"/>
      <c r="AE67" s="276"/>
      <c r="AF67" s="276"/>
      <c r="AG67" s="276"/>
      <c r="AH67" s="276"/>
      <c r="AI67" s="276"/>
      <c r="AJ67" s="276"/>
      <c r="AK67" s="276"/>
      <c r="AL67" s="276"/>
      <c r="AM67" s="276"/>
      <c r="AN67" s="276"/>
      <c r="AO67" s="276"/>
      <c r="AP67" s="276"/>
      <c r="AQ67" s="276"/>
      <c r="AR67" s="276"/>
      <c r="AS67" s="276"/>
    </row>
    <row r="68" spans="1:45" s="216" customFormat="1">
      <c r="A68" s="276"/>
      <c r="B68" s="283" t="str">
        <f>Inputs!B102</f>
        <v>Barn</v>
      </c>
      <c r="C68" s="250"/>
      <c r="D68" s="365">
        <f>IF(Inputs!F102=0,0,(Inputs!D102-Inputs!E102)/Inputs!F102)</f>
        <v>1000</v>
      </c>
      <c r="E68" s="364">
        <f>Inputs!D102*Inputs!$E$112</f>
        <v>900</v>
      </c>
      <c r="F68" s="263">
        <f>IF(SUM(D68:E68)=0,0,Inputs!T102)</f>
        <v>0</v>
      </c>
      <c r="G68" s="255"/>
      <c r="H68" s="445">
        <f t="shared" si="16"/>
        <v>0</v>
      </c>
      <c r="I68" s="439" t="str">
        <f t="shared" si="15"/>
        <v/>
      </c>
      <c r="J68" s="222"/>
      <c r="K68" s="222"/>
      <c r="L68" s="222"/>
      <c r="M68" s="222"/>
      <c r="N68" s="222"/>
      <c r="O68" s="222"/>
      <c r="P68" s="222"/>
      <c r="Q68" s="222"/>
      <c r="R68" s="222"/>
      <c r="S68" s="222"/>
      <c r="T68" s="222"/>
      <c r="U68" s="222"/>
      <c r="V68" s="222"/>
      <c r="W68" s="222"/>
      <c r="X68" s="222"/>
      <c r="Y68" s="221"/>
      <c r="Z68" s="221"/>
      <c r="AA68" s="221"/>
      <c r="AB68" s="276"/>
      <c r="AC68" s="276"/>
      <c r="AD68" s="276"/>
      <c r="AE68" s="276"/>
      <c r="AF68" s="276"/>
      <c r="AG68" s="276"/>
      <c r="AH68" s="276"/>
      <c r="AI68" s="276"/>
      <c r="AJ68" s="276"/>
      <c r="AK68" s="276"/>
      <c r="AL68" s="276"/>
      <c r="AM68" s="276"/>
      <c r="AN68" s="276"/>
      <c r="AO68" s="276"/>
      <c r="AP68" s="276"/>
      <c r="AQ68" s="276"/>
      <c r="AR68" s="276"/>
      <c r="AS68" s="276"/>
    </row>
    <row r="69" spans="1:45" s="216" customFormat="1">
      <c r="A69" s="276"/>
      <c r="B69" s="283">
        <f>Inputs!B103</f>
        <v>0</v>
      </c>
      <c r="C69" s="250"/>
      <c r="D69" s="365">
        <f>IF(Inputs!F103=0,0,(Inputs!D103-Inputs!E103)/Inputs!F103)</f>
        <v>0</v>
      </c>
      <c r="E69" s="364">
        <f>Inputs!D103*Inputs!$E$112</f>
        <v>0</v>
      </c>
      <c r="F69" s="263">
        <f>IF(SUM(D69:E69)=0,0,Inputs!T103)</f>
        <v>0</v>
      </c>
      <c r="G69" s="255"/>
      <c r="H69" s="445">
        <f t="shared" si="16"/>
        <v>0</v>
      </c>
      <c r="I69" s="439" t="str">
        <f t="shared" si="15"/>
        <v/>
      </c>
      <c r="J69" s="222"/>
      <c r="K69" s="222"/>
      <c r="L69" s="222"/>
      <c r="M69" s="222"/>
      <c r="N69" s="222"/>
      <c r="O69" s="222"/>
      <c r="P69" s="222"/>
      <c r="Q69" s="222"/>
      <c r="R69" s="222"/>
      <c r="S69" s="222"/>
      <c r="T69" s="222"/>
      <c r="U69" s="222"/>
      <c r="V69" s="222"/>
      <c r="W69" s="222"/>
      <c r="X69" s="222"/>
      <c r="Y69" s="221"/>
      <c r="Z69" s="221"/>
      <c r="AA69" s="221"/>
      <c r="AB69" s="276"/>
      <c r="AC69" s="276"/>
      <c r="AD69" s="276"/>
      <c r="AE69" s="276"/>
      <c r="AF69" s="276"/>
      <c r="AG69" s="276"/>
      <c r="AH69" s="276"/>
      <c r="AI69" s="276"/>
      <c r="AJ69" s="276"/>
      <c r="AK69" s="276"/>
      <c r="AL69" s="276"/>
      <c r="AM69" s="276"/>
      <c r="AN69" s="276"/>
      <c r="AO69" s="276"/>
      <c r="AP69" s="276"/>
      <c r="AQ69" s="276"/>
      <c r="AR69" s="276"/>
      <c r="AS69" s="276"/>
    </row>
    <row r="70" spans="1:45" s="216" customFormat="1" hidden="1">
      <c r="A70" s="276"/>
      <c r="B70" s="283">
        <f>Inputs!B104</f>
        <v>0</v>
      </c>
      <c r="C70" s="250"/>
      <c r="D70" s="365">
        <f>IF(Inputs!F104=0,0,(Inputs!D104-Inputs!E104)/Inputs!F104)</f>
        <v>0</v>
      </c>
      <c r="E70" s="364">
        <f>Inputs!D104*Inputs!$E$112</f>
        <v>0</v>
      </c>
      <c r="F70" s="263">
        <f>IF(SUM(D70:E70)=0,0,Inputs!T104)</f>
        <v>0</v>
      </c>
      <c r="G70" s="255"/>
      <c r="H70" s="445"/>
      <c r="I70" s="439" t="str">
        <f t="shared" si="15"/>
        <v/>
      </c>
      <c r="J70" s="222"/>
      <c r="K70" s="222"/>
      <c r="L70" s="222"/>
      <c r="M70" s="222"/>
      <c r="N70" s="222"/>
      <c r="O70" s="222"/>
      <c r="P70" s="222"/>
      <c r="Q70" s="222"/>
      <c r="R70" s="222"/>
      <c r="S70" s="222"/>
      <c r="T70" s="222"/>
      <c r="U70" s="222"/>
      <c r="V70" s="222"/>
      <c r="W70" s="222"/>
      <c r="X70" s="222"/>
      <c r="Y70" s="221"/>
      <c r="Z70" s="221"/>
      <c r="AA70" s="221"/>
      <c r="AB70" s="276"/>
      <c r="AC70" s="276"/>
      <c r="AD70" s="276"/>
      <c r="AE70" s="276"/>
      <c r="AF70" s="276"/>
      <c r="AG70" s="276"/>
      <c r="AH70" s="276"/>
      <c r="AI70" s="276"/>
      <c r="AJ70" s="276"/>
      <c r="AK70" s="276"/>
      <c r="AL70" s="276"/>
      <c r="AM70" s="276"/>
      <c r="AN70" s="276"/>
      <c r="AO70" s="276"/>
      <c r="AP70" s="276"/>
      <c r="AQ70" s="276"/>
      <c r="AR70" s="276"/>
      <c r="AS70" s="276"/>
    </row>
    <row r="71" spans="1:45" s="216" customFormat="1" hidden="1">
      <c r="A71" s="276"/>
      <c r="B71" s="283">
        <f>Inputs!B105</f>
        <v>0</v>
      </c>
      <c r="C71" s="250"/>
      <c r="D71" s="365">
        <f>IF(Inputs!F105=0,0,(Inputs!D105-Inputs!E105)/Inputs!F105)</f>
        <v>0</v>
      </c>
      <c r="E71" s="364">
        <f>Inputs!D105*Inputs!$E$112</f>
        <v>0</v>
      </c>
      <c r="F71" s="263">
        <f>IF(SUM(D71:E71)=0,0,Inputs!T105)</f>
        <v>0</v>
      </c>
      <c r="G71" s="255"/>
      <c r="H71" s="445"/>
      <c r="I71" s="439" t="str">
        <f t="shared" si="15"/>
        <v/>
      </c>
      <c r="J71" s="222"/>
      <c r="K71" s="222"/>
      <c r="L71" s="222"/>
      <c r="M71" s="222"/>
      <c r="N71" s="222"/>
      <c r="O71" s="222"/>
      <c r="P71" s="222"/>
      <c r="Q71" s="222"/>
      <c r="R71" s="222"/>
      <c r="S71" s="222"/>
      <c r="T71" s="222"/>
      <c r="U71" s="222"/>
      <c r="V71" s="222"/>
      <c r="W71" s="222"/>
      <c r="X71" s="222"/>
      <c r="Y71" s="221"/>
      <c r="Z71" s="221"/>
      <c r="AA71" s="221"/>
      <c r="AB71" s="276"/>
      <c r="AC71" s="276"/>
      <c r="AD71" s="276"/>
      <c r="AE71" s="276"/>
      <c r="AF71" s="276"/>
      <c r="AG71" s="276"/>
      <c r="AH71" s="276"/>
      <c r="AI71" s="276"/>
      <c r="AJ71" s="276"/>
      <c r="AK71" s="276"/>
      <c r="AL71" s="276"/>
      <c r="AM71" s="276"/>
      <c r="AN71" s="276"/>
      <c r="AO71" s="276"/>
      <c r="AP71" s="276"/>
      <c r="AQ71" s="276"/>
      <c r="AR71" s="276"/>
      <c r="AS71" s="276"/>
    </row>
    <row r="72" spans="1:45" s="216" customFormat="1" hidden="1">
      <c r="A72" s="276"/>
      <c r="B72" s="283">
        <f>Inputs!B106</f>
        <v>0</v>
      </c>
      <c r="C72" s="250"/>
      <c r="D72" s="365">
        <f>IF(Inputs!F106=0,0,(Inputs!D106-Inputs!E106)/Inputs!F106)</f>
        <v>0</v>
      </c>
      <c r="E72" s="364">
        <f>Inputs!D106*Inputs!$E$112</f>
        <v>0</v>
      </c>
      <c r="F72" s="263">
        <f>IF(SUM(D72:E72)=0,0,Inputs!T106)</f>
        <v>0</v>
      </c>
      <c r="G72" s="255"/>
      <c r="H72" s="445">
        <f t="shared" si="16"/>
        <v>0</v>
      </c>
      <c r="I72" s="439" t="str">
        <f t="shared" si="15"/>
        <v/>
      </c>
      <c r="J72" s="222"/>
      <c r="K72" s="222"/>
      <c r="L72" s="222"/>
      <c r="M72" s="222"/>
      <c r="N72" s="222"/>
      <c r="O72" s="222"/>
      <c r="P72" s="222"/>
      <c r="Q72" s="222"/>
      <c r="R72" s="222"/>
      <c r="S72" s="222"/>
      <c r="T72" s="222"/>
      <c r="U72" s="222"/>
      <c r="V72" s="222"/>
      <c r="W72" s="222"/>
      <c r="X72" s="222"/>
      <c r="Y72" s="221"/>
      <c r="Z72" s="221"/>
      <c r="AA72" s="221"/>
      <c r="AB72" s="276"/>
      <c r="AC72" s="276"/>
      <c r="AD72" s="276"/>
      <c r="AE72" s="276"/>
      <c r="AF72" s="276"/>
      <c r="AG72" s="276"/>
      <c r="AH72" s="276"/>
      <c r="AI72" s="276"/>
      <c r="AJ72" s="276"/>
      <c r="AK72" s="276"/>
      <c r="AL72" s="276"/>
      <c r="AM72" s="276"/>
      <c r="AN72" s="276"/>
      <c r="AO72" s="276"/>
      <c r="AP72" s="276"/>
      <c r="AQ72" s="276"/>
      <c r="AR72" s="276"/>
      <c r="AS72" s="276"/>
    </row>
    <row r="73" spans="1:45" s="216" customFormat="1" hidden="1">
      <c r="A73" s="276"/>
      <c r="B73" s="283">
        <f>Inputs!B107</f>
        <v>0</v>
      </c>
      <c r="C73" s="250"/>
      <c r="D73" s="365">
        <f>IF(Inputs!F107=0,0,(Inputs!D107-Inputs!E107)/Inputs!F107)</f>
        <v>0</v>
      </c>
      <c r="E73" s="364">
        <f>Inputs!D107*Inputs!$E$112</f>
        <v>0</v>
      </c>
      <c r="F73" s="263">
        <f>IF(SUM(D73:E73)=0,0,Inputs!T107)</f>
        <v>0</v>
      </c>
      <c r="G73" s="255"/>
      <c r="H73" s="445">
        <f t="shared" si="16"/>
        <v>0</v>
      </c>
      <c r="I73" s="439" t="str">
        <f t="shared" si="15"/>
        <v/>
      </c>
      <c r="J73" s="222"/>
      <c r="K73" s="222"/>
      <c r="L73" s="222"/>
      <c r="M73" s="222"/>
      <c r="N73" s="222"/>
      <c r="O73" s="222"/>
      <c r="P73" s="222"/>
      <c r="Q73" s="222"/>
      <c r="R73" s="222"/>
      <c r="S73" s="222"/>
      <c r="T73" s="222"/>
      <c r="U73" s="222"/>
      <c r="V73" s="222"/>
      <c r="W73" s="222"/>
      <c r="X73" s="222"/>
      <c r="Y73" s="221"/>
      <c r="Z73" s="221"/>
      <c r="AA73" s="221"/>
      <c r="AB73" s="276"/>
      <c r="AC73" s="276"/>
      <c r="AD73" s="276"/>
      <c r="AE73" s="276"/>
      <c r="AF73" s="276"/>
      <c r="AG73" s="276"/>
      <c r="AH73" s="276"/>
      <c r="AI73" s="276"/>
      <c r="AJ73" s="276"/>
      <c r="AK73" s="276"/>
      <c r="AL73" s="276"/>
      <c r="AM73" s="276"/>
      <c r="AN73" s="276"/>
      <c r="AO73" s="276"/>
      <c r="AP73" s="276"/>
      <c r="AQ73" s="276"/>
      <c r="AR73" s="276"/>
      <c r="AS73" s="276"/>
    </row>
    <row r="74" spans="1:45" s="216" customFormat="1" hidden="1">
      <c r="A74" s="276"/>
      <c r="B74" s="283">
        <f>Inputs!B108</f>
        <v>0</v>
      </c>
      <c r="C74" s="250"/>
      <c r="D74" s="365">
        <f>IF(Inputs!F108=0,0,(Inputs!D108-Inputs!E108)/Inputs!F108)</f>
        <v>0</v>
      </c>
      <c r="E74" s="364">
        <f>Inputs!D108*Inputs!$E$112</f>
        <v>0</v>
      </c>
      <c r="F74" s="263">
        <f>IF(SUM(D74:E74)=0,0,Inputs!T108)</f>
        <v>0</v>
      </c>
      <c r="G74" s="255"/>
      <c r="H74" s="445"/>
      <c r="I74" s="439" t="str">
        <f t="shared" si="15"/>
        <v/>
      </c>
      <c r="J74" s="222"/>
      <c r="K74" s="222"/>
      <c r="L74" s="222"/>
      <c r="M74" s="222"/>
      <c r="N74" s="222"/>
      <c r="O74" s="222"/>
      <c r="P74" s="222"/>
      <c r="Q74" s="222"/>
      <c r="R74" s="222"/>
      <c r="S74" s="222"/>
      <c r="T74" s="222"/>
      <c r="U74" s="222"/>
      <c r="V74" s="222"/>
      <c r="W74" s="222"/>
      <c r="X74" s="222"/>
      <c r="Y74" s="221"/>
      <c r="Z74" s="221"/>
      <c r="AA74" s="221"/>
      <c r="AB74" s="276"/>
      <c r="AC74" s="276"/>
      <c r="AD74" s="276"/>
      <c r="AE74" s="276"/>
      <c r="AF74" s="276"/>
      <c r="AG74" s="276"/>
      <c r="AH74" s="276"/>
      <c r="AI74" s="276"/>
      <c r="AJ74" s="276"/>
      <c r="AK74" s="276"/>
      <c r="AL74" s="276"/>
      <c r="AM74" s="276"/>
      <c r="AN74" s="276"/>
      <c r="AO74" s="276"/>
      <c r="AP74" s="276"/>
      <c r="AQ74" s="276"/>
      <c r="AR74" s="276"/>
      <c r="AS74" s="276"/>
    </row>
    <row r="75" spans="1:45" s="216" customFormat="1" ht="13.5" thickBot="1">
      <c r="A75" s="276"/>
      <c r="B75" s="239" t="s">
        <v>99</v>
      </c>
      <c r="C75" s="250"/>
      <c r="D75" s="365"/>
      <c r="E75" s="365">
        <f>Inputs!E116*Inputs!E112</f>
        <v>0</v>
      </c>
      <c r="F75" s="371">
        <f>IF(E75=0,0,Inputs!T116)</f>
        <v>0</v>
      </c>
      <c r="G75" s="255"/>
      <c r="H75" s="445">
        <f>E75*F75</f>
        <v>0</v>
      </c>
      <c r="I75" s="439" t="str">
        <f t="shared" si="15"/>
        <v/>
      </c>
      <c r="J75" s="222"/>
      <c r="K75" s="222"/>
      <c r="L75" s="222"/>
      <c r="M75" s="222"/>
      <c r="N75" s="222"/>
      <c r="O75" s="222"/>
      <c r="P75" s="222"/>
      <c r="Q75" s="222"/>
      <c r="R75" s="222"/>
      <c r="S75" s="222"/>
      <c r="T75" s="222"/>
      <c r="U75" s="222"/>
      <c r="V75" s="222"/>
      <c r="W75" s="222"/>
      <c r="X75" s="222"/>
      <c r="Y75" s="221"/>
      <c r="Z75" s="221"/>
      <c r="AA75" s="221"/>
      <c r="AB75" s="276"/>
      <c r="AC75" s="276"/>
      <c r="AD75" s="276"/>
      <c r="AE75" s="276"/>
      <c r="AF75" s="276"/>
      <c r="AG75" s="276"/>
      <c r="AH75" s="276"/>
      <c r="AI75" s="276"/>
      <c r="AJ75" s="276"/>
      <c r="AK75" s="276"/>
      <c r="AL75" s="276"/>
      <c r="AM75" s="276"/>
      <c r="AN75" s="276"/>
      <c r="AO75" s="276"/>
      <c r="AP75" s="276"/>
      <c r="AQ75" s="276"/>
      <c r="AR75" s="276"/>
      <c r="AS75" s="276"/>
    </row>
    <row r="76" spans="1:45" s="216" customFormat="1" ht="13.5" thickBot="1">
      <c r="A76" s="276"/>
      <c r="B76" s="99">
        <v>217480.06701030929</v>
      </c>
      <c r="C76" s="96"/>
      <c r="D76" s="42"/>
      <c r="E76" s="42"/>
      <c r="F76" s="42"/>
      <c r="G76" s="21" t="s">
        <v>105</v>
      </c>
      <c r="H76" s="607">
        <f>SUM(H66:H75)</f>
        <v>0</v>
      </c>
      <c r="I76" s="625">
        <f>SUM(I66:I75)</f>
        <v>0</v>
      </c>
      <c r="J76" s="222"/>
      <c r="K76" s="222"/>
      <c r="L76" s="222"/>
      <c r="M76" s="222"/>
      <c r="N76" s="222"/>
      <c r="O76" s="222"/>
      <c r="P76" s="222"/>
      <c r="Q76" s="222"/>
      <c r="R76" s="222"/>
      <c r="S76" s="222"/>
      <c r="T76" s="222"/>
      <c r="U76" s="222"/>
      <c r="V76" s="222"/>
      <c r="W76" s="222"/>
      <c r="X76" s="222"/>
      <c r="Y76" s="221"/>
      <c r="Z76" s="221"/>
      <c r="AA76" s="221"/>
      <c r="AB76" s="276"/>
      <c r="AC76" s="276"/>
      <c r="AD76" s="276"/>
      <c r="AE76" s="276"/>
      <c r="AF76" s="276"/>
      <c r="AG76" s="276"/>
      <c r="AH76" s="276"/>
      <c r="AI76" s="276"/>
      <c r="AJ76" s="276"/>
      <c r="AK76" s="276"/>
      <c r="AL76" s="276"/>
      <c r="AM76" s="276"/>
      <c r="AN76" s="276"/>
      <c r="AO76" s="276"/>
      <c r="AP76" s="276"/>
      <c r="AQ76" s="276"/>
      <c r="AR76" s="276"/>
      <c r="AS76" s="276"/>
    </row>
    <row r="77" spans="1:45" s="216" customFormat="1" ht="13.5" thickBot="1">
      <c r="A77" s="276"/>
      <c r="B77" s="43"/>
      <c r="C77" s="43"/>
      <c r="D77" s="43"/>
      <c r="E77" s="43"/>
      <c r="F77" s="43"/>
      <c r="G77" s="43"/>
      <c r="H77" s="591"/>
      <c r="I77" s="610"/>
      <c r="J77" s="222"/>
      <c r="K77" s="222"/>
      <c r="L77" s="222"/>
      <c r="M77" s="222"/>
      <c r="N77" s="222"/>
      <c r="O77" s="222"/>
      <c r="P77" s="222"/>
      <c r="Q77" s="222"/>
      <c r="R77" s="222"/>
      <c r="S77" s="222"/>
      <c r="T77" s="222"/>
      <c r="U77" s="222"/>
      <c r="V77" s="222"/>
      <c r="W77" s="222"/>
      <c r="X77" s="222"/>
      <c r="Y77" s="221"/>
      <c r="Z77" s="221"/>
      <c r="AA77" s="221"/>
      <c r="AB77" s="276"/>
      <c r="AC77" s="276"/>
      <c r="AD77" s="276"/>
      <c r="AE77" s="276"/>
      <c r="AF77" s="276"/>
      <c r="AG77" s="276"/>
      <c r="AH77" s="276"/>
      <c r="AI77" s="276"/>
      <c r="AJ77" s="276"/>
      <c r="AK77" s="276"/>
      <c r="AL77" s="276"/>
      <c r="AM77" s="276"/>
      <c r="AN77" s="276"/>
      <c r="AO77" s="276"/>
      <c r="AP77" s="276"/>
      <c r="AQ77" s="276"/>
      <c r="AR77" s="276"/>
      <c r="AS77" s="276"/>
    </row>
    <row r="78" spans="1:45" s="216" customFormat="1" ht="25.5">
      <c r="A78" s="276"/>
      <c r="B78" s="142" t="s">
        <v>107</v>
      </c>
      <c r="C78" s="139"/>
      <c r="D78" s="143"/>
      <c r="E78" s="143"/>
      <c r="F78" s="143"/>
      <c r="G78" s="144"/>
      <c r="H78" s="608" t="s">
        <v>73</v>
      </c>
      <c r="I78" s="626" t="s">
        <v>93</v>
      </c>
      <c r="J78" s="222"/>
      <c r="K78" s="222"/>
      <c r="L78" s="222"/>
      <c r="M78" s="222"/>
      <c r="N78" s="222"/>
      <c r="O78" s="222"/>
      <c r="P78" s="222"/>
      <c r="Q78" s="222"/>
      <c r="R78" s="222"/>
      <c r="S78" s="222"/>
      <c r="T78" s="222"/>
      <c r="U78" s="222"/>
      <c r="V78" s="222"/>
      <c r="W78" s="222"/>
      <c r="X78" s="222"/>
      <c r="Y78" s="221"/>
      <c r="Z78" s="221"/>
      <c r="AA78" s="221"/>
      <c r="AB78" s="276"/>
      <c r="AC78" s="276"/>
      <c r="AD78" s="276"/>
      <c r="AE78" s="276"/>
      <c r="AF78" s="276"/>
      <c r="AG78" s="276"/>
      <c r="AH78" s="276"/>
      <c r="AI78" s="276"/>
      <c r="AJ78" s="276"/>
      <c r="AK78" s="276"/>
      <c r="AL78" s="276"/>
      <c r="AM78" s="276"/>
      <c r="AN78" s="276"/>
      <c r="AO78" s="276"/>
      <c r="AP78" s="276"/>
      <c r="AQ78" s="276"/>
      <c r="AR78" s="276"/>
      <c r="AS78" s="276"/>
    </row>
    <row r="79" spans="1:45" s="216" customFormat="1" ht="13.5" thickBot="1">
      <c r="A79" s="276"/>
      <c r="B79" s="140"/>
      <c r="C79" s="141"/>
      <c r="D79" s="280"/>
      <c r="E79" s="280"/>
      <c r="F79" s="280"/>
      <c r="G79" s="246" t="s">
        <v>70</v>
      </c>
      <c r="H79" s="607">
        <f>H60+H76</f>
        <v>0</v>
      </c>
      <c r="I79" s="627">
        <f>I60+I76</f>
        <v>0</v>
      </c>
      <c r="J79" s="222"/>
      <c r="K79" s="222"/>
      <c r="L79" s="222"/>
      <c r="M79" s="222"/>
      <c r="N79" s="222"/>
      <c r="O79" s="222"/>
      <c r="P79" s="222"/>
      <c r="Q79" s="222"/>
      <c r="R79" s="222"/>
      <c r="S79" s="222"/>
      <c r="T79" s="222"/>
      <c r="U79" s="222"/>
      <c r="V79" s="222"/>
      <c r="W79" s="222"/>
      <c r="X79" s="222"/>
      <c r="Y79" s="221"/>
      <c r="Z79" s="221"/>
      <c r="AA79" s="221"/>
      <c r="AB79" s="276"/>
      <c r="AC79" s="276"/>
      <c r="AD79" s="276"/>
      <c r="AE79" s="276"/>
      <c r="AF79" s="276"/>
      <c r="AG79" s="276"/>
      <c r="AH79" s="276"/>
      <c r="AI79" s="276"/>
      <c r="AJ79" s="276"/>
      <c r="AK79" s="276"/>
      <c r="AL79" s="276"/>
      <c r="AM79" s="276"/>
      <c r="AN79" s="276"/>
      <c r="AO79" s="276"/>
      <c r="AP79" s="276"/>
      <c r="AQ79" s="276"/>
      <c r="AR79" s="276"/>
      <c r="AS79" s="276"/>
    </row>
    <row r="80" spans="1:45" s="216" customFormat="1" ht="13.5" thickBot="1">
      <c r="A80" s="276"/>
      <c r="B80" s="138"/>
      <c r="C80" s="105"/>
      <c r="D80" s="105"/>
      <c r="E80" s="105"/>
      <c r="F80" s="105"/>
      <c r="G80" s="105"/>
      <c r="H80" s="609"/>
      <c r="I80" s="628"/>
      <c r="J80" s="222"/>
      <c r="K80" s="222"/>
      <c r="L80" s="222"/>
      <c r="M80" s="222"/>
      <c r="N80" s="222"/>
      <c r="O80" s="222"/>
      <c r="P80" s="222"/>
      <c r="Q80" s="222"/>
      <c r="R80" s="222"/>
      <c r="S80" s="222"/>
      <c r="T80" s="222"/>
      <c r="U80" s="222"/>
      <c r="V80" s="222"/>
      <c r="W80" s="222"/>
      <c r="X80" s="222"/>
      <c r="Y80" s="221"/>
      <c r="Z80" s="221"/>
      <c r="AA80" s="221"/>
      <c r="AB80" s="276"/>
      <c r="AC80" s="276"/>
      <c r="AD80" s="276"/>
      <c r="AE80" s="276"/>
      <c r="AF80" s="276"/>
      <c r="AG80" s="276"/>
      <c r="AH80" s="276"/>
      <c r="AI80" s="276"/>
      <c r="AJ80" s="276"/>
      <c r="AK80" s="276"/>
      <c r="AL80" s="276"/>
      <c r="AM80" s="276"/>
      <c r="AN80" s="276"/>
      <c r="AO80" s="276"/>
      <c r="AP80" s="276"/>
      <c r="AQ80" s="276"/>
      <c r="AR80" s="276"/>
      <c r="AS80" s="276"/>
    </row>
    <row r="81" spans="1:45" s="216" customFormat="1" ht="13.5" thickBot="1">
      <c r="A81" s="276"/>
      <c r="B81" s="98"/>
      <c r="C81" s="96"/>
      <c r="D81" s="67"/>
      <c r="E81" s="67"/>
      <c r="F81" s="67"/>
      <c r="G81" s="21" t="s">
        <v>106</v>
      </c>
      <c r="H81" s="601">
        <f>H7-H79</f>
        <v>0</v>
      </c>
      <c r="I81" s="629">
        <f>I7-I79</f>
        <v>0</v>
      </c>
      <c r="J81" s="222"/>
      <c r="K81" s="222"/>
      <c r="L81" s="222"/>
      <c r="M81" s="222"/>
      <c r="N81" s="222"/>
      <c r="O81" s="222"/>
      <c r="P81" s="222"/>
      <c r="Q81" s="222"/>
      <c r="R81" s="222"/>
      <c r="S81" s="222"/>
      <c r="T81" s="222"/>
      <c r="U81" s="222"/>
      <c r="V81" s="222"/>
      <c r="W81" s="222"/>
      <c r="X81" s="222"/>
      <c r="Y81" s="221"/>
      <c r="Z81" s="221"/>
      <c r="AA81" s="221"/>
      <c r="AB81" s="276"/>
      <c r="AC81" s="276"/>
      <c r="AD81" s="276"/>
      <c r="AE81" s="276"/>
      <c r="AF81" s="276"/>
      <c r="AG81" s="276"/>
      <c r="AH81" s="276"/>
      <c r="AI81" s="276"/>
      <c r="AJ81" s="276"/>
      <c r="AK81" s="276"/>
      <c r="AL81" s="276"/>
      <c r="AM81" s="276"/>
      <c r="AN81" s="276"/>
      <c r="AO81" s="276"/>
      <c r="AP81" s="276"/>
      <c r="AQ81" s="276"/>
      <c r="AR81" s="276"/>
      <c r="AS81" s="276"/>
    </row>
    <row r="82" spans="1:45" s="216" customFormat="1">
      <c r="A82" s="276"/>
      <c r="B82" s="276"/>
      <c r="C82" s="276"/>
      <c r="D82" s="276"/>
      <c r="E82" s="276"/>
      <c r="F82" s="276"/>
      <c r="G82" s="276"/>
      <c r="H82" s="276"/>
      <c r="I82" s="276"/>
      <c r="J82" s="222"/>
      <c r="K82" s="222"/>
      <c r="L82" s="222"/>
      <c r="M82" s="222"/>
      <c r="N82" s="222"/>
      <c r="O82" s="222"/>
      <c r="P82" s="222"/>
      <c r="Q82" s="222"/>
      <c r="R82" s="222"/>
      <c r="S82" s="222"/>
      <c r="T82" s="222"/>
      <c r="U82" s="222"/>
      <c r="V82" s="222"/>
      <c r="W82" s="222"/>
      <c r="X82" s="222"/>
      <c r="Y82" s="221"/>
      <c r="Z82" s="221"/>
      <c r="AA82" s="221"/>
      <c r="AB82" s="276"/>
      <c r="AC82" s="276"/>
      <c r="AD82" s="276"/>
      <c r="AE82" s="276"/>
      <c r="AF82" s="276"/>
      <c r="AG82" s="276"/>
      <c r="AH82" s="276"/>
      <c r="AI82" s="276"/>
      <c r="AJ82" s="276"/>
      <c r="AK82" s="276"/>
      <c r="AL82" s="276"/>
      <c r="AM82" s="276"/>
      <c r="AN82" s="276"/>
      <c r="AO82" s="276"/>
      <c r="AP82" s="276"/>
      <c r="AQ82" s="276"/>
      <c r="AR82" s="276"/>
      <c r="AS82" s="276"/>
    </row>
    <row r="83" spans="1:45" s="216" customFormat="1">
      <c r="A83" s="276"/>
      <c r="B83" s="276"/>
      <c r="C83" s="276"/>
      <c r="D83" s="276"/>
      <c r="E83" s="276"/>
      <c r="F83" s="276"/>
      <c r="G83" s="276"/>
      <c r="H83" s="276"/>
      <c r="I83" s="276"/>
      <c r="J83" s="222"/>
      <c r="K83" s="222"/>
      <c r="L83" s="222"/>
      <c r="M83" s="222"/>
      <c r="N83" s="222"/>
      <c r="O83" s="222"/>
      <c r="P83" s="222"/>
      <c r="Q83" s="222"/>
      <c r="R83" s="222"/>
      <c r="S83" s="222"/>
      <c r="T83" s="222"/>
      <c r="U83" s="222"/>
      <c r="V83" s="222"/>
      <c r="W83" s="222"/>
      <c r="X83" s="222"/>
      <c r="Y83" s="221"/>
      <c r="Z83" s="221"/>
      <c r="AA83" s="221"/>
      <c r="AB83" s="276"/>
      <c r="AC83" s="276"/>
      <c r="AD83" s="276"/>
      <c r="AE83" s="276"/>
      <c r="AF83" s="276"/>
      <c r="AG83" s="276"/>
      <c r="AH83" s="276"/>
      <c r="AI83" s="276"/>
      <c r="AJ83" s="276"/>
      <c r="AK83" s="276"/>
      <c r="AL83" s="276"/>
      <c r="AM83" s="276"/>
      <c r="AN83" s="276"/>
      <c r="AO83" s="276"/>
      <c r="AP83" s="276"/>
      <c r="AQ83" s="276"/>
      <c r="AR83" s="276"/>
      <c r="AS83" s="276"/>
    </row>
    <row r="84" spans="1:45" s="216" customFormat="1">
      <c r="A84" s="276"/>
      <c r="B84" s="276"/>
      <c r="C84" s="276"/>
      <c r="D84" s="276"/>
      <c r="E84" s="276"/>
      <c r="F84" s="276"/>
      <c r="G84" s="276"/>
      <c r="H84" s="276"/>
      <c r="I84" s="276"/>
      <c r="J84" s="222"/>
      <c r="K84" s="222"/>
      <c r="L84" s="222"/>
      <c r="M84" s="222"/>
      <c r="N84" s="222"/>
      <c r="O84" s="222"/>
      <c r="P84" s="222"/>
      <c r="Q84" s="222"/>
      <c r="R84" s="222"/>
      <c r="S84" s="222"/>
      <c r="T84" s="222"/>
      <c r="U84" s="222"/>
      <c r="V84" s="222"/>
      <c r="W84" s="222"/>
      <c r="X84" s="222"/>
      <c r="Y84" s="221"/>
      <c r="Z84" s="221"/>
      <c r="AA84" s="221"/>
      <c r="AB84" s="276"/>
      <c r="AC84" s="276"/>
      <c r="AD84" s="276"/>
      <c r="AE84" s="276"/>
      <c r="AF84" s="276"/>
      <c r="AG84" s="276"/>
      <c r="AH84" s="276"/>
      <c r="AI84" s="276"/>
      <c r="AJ84" s="276"/>
      <c r="AK84" s="276"/>
      <c r="AL84" s="276"/>
      <c r="AM84" s="276"/>
      <c r="AN84" s="276"/>
      <c r="AO84" s="276"/>
      <c r="AP84" s="276"/>
      <c r="AQ84" s="276"/>
      <c r="AR84" s="276"/>
      <c r="AS84" s="276"/>
    </row>
    <row r="85" spans="1:45" s="216" customFormat="1">
      <c r="A85" s="276"/>
      <c r="B85" s="276"/>
      <c r="C85" s="276"/>
      <c r="D85" s="276"/>
      <c r="E85" s="276"/>
      <c r="F85" s="276"/>
      <c r="G85" s="276"/>
      <c r="H85" s="276"/>
      <c r="I85" s="276"/>
      <c r="J85" s="222"/>
      <c r="K85" s="222"/>
      <c r="L85" s="222"/>
      <c r="M85" s="222"/>
      <c r="N85" s="222"/>
      <c r="O85" s="222"/>
      <c r="P85" s="222"/>
      <c r="Q85" s="222"/>
      <c r="R85" s="222"/>
      <c r="S85" s="222"/>
      <c r="T85" s="222"/>
      <c r="U85" s="222"/>
      <c r="V85" s="222"/>
      <c r="W85" s="222"/>
      <c r="X85" s="222"/>
      <c r="Y85" s="221"/>
      <c r="Z85" s="221"/>
      <c r="AA85" s="221"/>
      <c r="AB85" s="276"/>
      <c r="AC85" s="276"/>
      <c r="AD85" s="276"/>
      <c r="AE85" s="276"/>
      <c r="AF85" s="276"/>
      <c r="AG85" s="276"/>
      <c r="AH85" s="276"/>
      <c r="AI85" s="276"/>
      <c r="AJ85" s="276"/>
      <c r="AK85" s="276"/>
      <c r="AL85" s="276"/>
      <c r="AM85" s="276"/>
      <c r="AN85" s="276"/>
      <c r="AO85" s="276"/>
      <c r="AP85" s="276"/>
      <c r="AQ85" s="276"/>
      <c r="AR85" s="276"/>
      <c r="AS85" s="276"/>
    </row>
    <row r="86" spans="1:45" s="216" customFormat="1">
      <c r="A86" s="276"/>
      <c r="B86" s="276"/>
      <c r="C86" s="276"/>
      <c r="D86" s="276"/>
      <c r="E86" s="276"/>
      <c r="F86" s="276"/>
      <c r="G86" s="276"/>
      <c r="H86" s="276"/>
      <c r="I86" s="276"/>
      <c r="J86" s="222"/>
      <c r="K86" s="222"/>
      <c r="L86" s="222"/>
      <c r="M86" s="222"/>
      <c r="N86" s="222"/>
      <c r="O86" s="222"/>
      <c r="P86" s="222"/>
      <c r="Q86" s="222"/>
      <c r="R86" s="222"/>
      <c r="S86" s="222"/>
      <c r="T86" s="222"/>
      <c r="U86" s="222"/>
      <c r="V86" s="222"/>
      <c r="W86" s="222"/>
      <c r="X86" s="222"/>
      <c r="Y86" s="221"/>
      <c r="Z86" s="221"/>
      <c r="AA86" s="221"/>
      <c r="AB86" s="276"/>
      <c r="AC86" s="276"/>
      <c r="AD86" s="276"/>
      <c r="AE86" s="276"/>
      <c r="AF86" s="276"/>
      <c r="AG86" s="276"/>
      <c r="AH86" s="276"/>
      <c r="AI86" s="276"/>
      <c r="AJ86" s="276"/>
      <c r="AK86" s="276"/>
      <c r="AL86" s="276"/>
      <c r="AM86" s="276"/>
      <c r="AN86" s="276"/>
      <c r="AO86" s="276"/>
      <c r="AP86" s="276"/>
      <c r="AQ86" s="276"/>
      <c r="AR86" s="276"/>
      <c r="AS86" s="276"/>
    </row>
    <row r="87" spans="1:45" s="216" customFormat="1">
      <c r="A87" s="276"/>
      <c r="B87" s="276"/>
      <c r="C87" s="276"/>
      <c r="D87" s="276"/>
      <c r="E87" s="276"/>
      <c r="F87" s="276"/>
      <c r="G87" s="276"/>
      <c r="H87" s="276"/>
      <c r="I87" s="276"/>
      <c r="J87" s="222"/>
      <c r="K87" s="222"/>
      <c r="L87" s="222"/>
      <c r="M87" s="222"/>
      <c r="N87" s="222"/>
      <c r="O87" s="222"/>
      <c r="P87" s="222"/>
      <c r="Q87" s="222"/>
      <c r="R87" s="222"/>
      <c r="S87" s="222"/>
      <c r="T87" s="222"/>
      <c r="U87" s="222"/>
      <c r="V87" s="222"/>
      <c r="W87" s="222"/>
      <c r="X87" s="222"/>
      <c r="Y87" s="221"/>
      <c r="Z87" s="221"/>
      <c r="AA87" s="221"/>
      <c r="AB87" s="276"/>
      <c r="AC87" s="276"/>
      <c r="AD87" s="276"/>
      <c r="AE87" s="276"/>
      <c r="AF87" s="276"/>
      <c r="AG87" s="276"/>
      <c r="AH87" s="276"/>
      <c r="AI87" s="276"/>
      <c r="AJ87" s="276"/>
      <c r="AK87" s="276"/>
      <c r="AL87" s="276"/>
      <c r="AM87" s="276"/>
      <c r="AN87" s="276"/>
      <c r="AO87" s="276"/>
      <c r="AP87" s="276"/>
      <c r="AQ87" s="276"/>
      <c r="AR87" s="276"/>
      <c r="AS87" s="276"/>
    </row>
    <row r="88" spans="1:45" s="216" customFormat="1">
      <c r="A88" s="276"/>
      <c r="B88" s="276"/>
      <c r="C88" s="276"/>
      <c r="D88" s="276"/>
      <c r="E88" s="276"/>
      <c r="F88" s="276"/>
      <c r="G88" s="276"/>
      <c r="H88" s="276"/>
      <c r="I88" s="276"/>
      <c r="J88" s="222"/>
      <c r="K88" s="222"/>
      <c r="L88" s="222"/>
      <c r="M88" s="222"/>
      <c r="N88" s="222"/>
      <c r="O88" s="222"/>
      <c r="P88" s="222"/>
      <c r="Q88" s="222"/>
      <c r="R88" s="222"/>
      <c r="S88" s="222"/>
      <c r="T88" s="222"/>
      <c r="U88" s="222"/>
      <c r="V88" s="222"/>
      <c r="W88" s="222"/>
      <c r="X88" s="222"/>
      <c r="Y88" s="221"/>
      <c r="Z88" s="221"/>
      <c r="AA88" s="221"/>
      <c r="AB88" s="276"/>
      <c r="AC88" s="276"/>
      <c r="AD88" s="276"/>
      <c r="AE88" s="276"/>
      <c r="AF88" s="276"/>
      <c r="AG88" s="276"/>
      <c r="AH88" s="276"/>
      <c r="AI88" s="276"/>
      <c r="AJ88" s="276"/>
      <c r="AK88" s="276"/>
      <c r="AL88" s="276"/>
      <c r="AM88" s="276"/>
      <c r="AN88" s="276"/>
      <c r="AO88" s="276"/>
      <c r="AP88" s="276"/>
      <c r="AQ88" s="276"/>
      <c r="AR88" s="276"/>
      <c r="AS88" s="276"/>
    </row>
    <row r="89" spans="1:45" s="216" customFormat="1">
      <c r="A89" s="276"/>
      <c r="B89" s="276"/>
      <c r="C89" s="276"/>
      <c r="D89" s="276"/>
      <c r="E89" s="276"/>
      <c r="F89" s="276"/>
      <c r="G89" s="276"/>
      <c r="H89" s="276"/>
      <c r="I89" s="276"/>
      <c r="J89" s="222"/>
      <c r="K89" s="222"/>
      <c r="L89" s="222"/>
      <c r="M89" s="222"/>
      <c r="N89" s="222"/>
      <c r="O89" s="222"/>
      <c r="P89" s="222"/>
      <c r="Q89" s="222"/>
      <c r="R89" s="222"/>
      <c r="S89" s="222"/>
      <c r="T89" s="222"/>
      <c r="U89" s="222"/>
      <c r="V89" s="222"/>
      <c r="W89" s="222"/>
      <c r="X89" s="222"/>
      <c r="Y89" s="221"/>
      <c r="Z89" s="221"/>
      <c r="AA89" s="221"/>
      <c r="AB89" s="276"/>
      <c r="AC89" s="276"/>
      <c r="AD89" s="276"/>
      <c r="AE89" s="276"/>
      <c r="AF89" s="276"/>
      <c r="AG89" s="276"/>
      <c r="AH89" s="276"/>
      <c r="AI89" s="276"/>
      <c r="AJ89" s="276"/>
      <c r="AK89" s="276"/>
      <c r="AL89" s="276"/>
      <c r="AM89" s="276"/>
      <c r="AN89" s="276"/>
      <c r="AO89" s="276"/>
      <c r="AP89" s="276"/>
      <c r="AQ89" s="276"/>
      <c r="AR89" s="276"/>
      <c r="AS89" s="276"/>
    </row>
    <row r="90" spans="1:45" s="216" customFormat="1">
      <c r="A90" s="276"/>
      <c r="B90" s="276"/>
      <c r="C90" s="276"/>
      <c r="D90" s="276"/>
      <c r="E90" s="276"/>
      <c r="F90" s="276"/>
      <c r="G90" s="276"/>
      <c r="H90" s="276"/>
      <c r="I90" s="276"/>
      <c r="J90" s="222"/>
      <c r="K90" s="222"/>
      <c r="L90" s="222"/>
      <c r="M90" s="222"/>
      <c r="N90" s="222"/>
      <c r="O90" s="222"/>
      <c r="P90" s="222"/>
      <c r="Q90" s="222"/>
      <c r="R90" s="222"/>
      <c r="S90" s="222"/>
      <c r="T90" s="222"/>
      <c r="U90" s="222"/>
      <c r="V90" s="222"/>
      <c r="W90" s="222"/>
      <c r="X90" s="222"/>
      <c r="Y90" s="221"/>
      <c r="Z90" s="221"/>
      <c r="AA90" s="221"/>
      <c r="AB90" s="276"/>
      <c r="AC90" s="276"/>
      <c r="AD90" s="276"/>
      <c r="AE90" s="276"/>
      <c r="AF90" s="276"/>
      <c r="AG90" s="276"/>
      <c r="AH90" s="276"/>
      <c r="AI90" s="276"/>
      <c r="AJ90" s="276"/>
      <c r="AK90" s="276"/>
      <c r="AL90" s="276"/>
      <c r="AM90" s="276"/>
      <c r="AN90" s="276"/>
      <c r="AO90" s="276"/>
      <c r="AP90" s="276"/>
      <c r="AQ90" s="276"/>
      <c r="AR90" s="276"/>
      <c r="AS90" s="276"/>
    </row>
    <row r="91" spans="1:45" s="216" customFormat="1">
      <c r="A91" s="276"/>
      <c r="B91" s="276"/>
      <c r="C91" s="276"/>
      <c r="D91" s="276"/>
      <c r="E91" s="276"/>
      <c r="F91" s="276"/>
      <c r="G91" s="276"/>
      <c r="H91" s="276"/>
      <c r="I91" s="276"/>
      <c r="J91" s="222"/>
      <c r="K91" s="222"/>
      <c r="L91" s="222"/>
      <c r="M91" s="222"/>
      <c r="N91" s="222"/>
      <c r="O91" s="222"/>
      <c r="P91" s="222"/>
      <c r="Q91" s="222"/>
      <c r="R91" s="222"/>
      <c r="S91" s="222"/>
      <c r="T91" s="222"/>
      <c r="U91" s="222"/>
      <c r="V91" s="222"/>
      <c r="W91" s="222"/>
      <c r="X91" s="222"/>
      <c r="Y91" s="221"/>
      <c r="Z91" s="221"/>
      <c r="AA91" s="221"/>
      <c r="AB91" s="276"/>
      <c r="AC91" s="276"/>
      <c r="AD91" s="276"/>
      <c r="AE91" s="276"/>
      <c r="AF91" s="276"/>
      <c r="AG91" s="276"/>
      <c r="AH91" s="276"/>
      <c r="AI91" s="276"/>
      <c r="AJ91" s="276"/>
      <c r="AK91" s="276"/>
      <c r="AL91" s="276"/>
      <c r="AM91" s="276"/>
      <c r="AN91" s="276"/>
      <c r="AO91" s="276"/>
      <c r="AP91" s="276"/>
      <c r="AQ91" s="276"/>
      <c r="AR91" s="276"/>
      <c r="AS91" s="276"/>
    </row>
    <row r="92" spans="1:45" s="216" customFormat="1">
      <c r="A92" s="276"/>
      <c r="B92" s="276"/>
      <c r="C92" s="276"/>
      <c r="D92" s="276"/>
      <c r="E92" s="276"/>
      <c r="F92" s="276"/>
      <c r="G92" s="276"/>
      <c r="H92" s="276"/>
      <c r="I92" s="276"/>
      <c r="J92" s="222"/>
      <c r="K92" s="222"/>
      <c r="L92" s="222"/>
      <c r="M92" s="222"/>
      <c r="N92" s="222"/>
      <c r="O92" s="222"/>
      <c r="P92" s="222"/>
      <c r="Q92" s="222"/>
      <c r="R92" s="222"/>
      <c r="S92" s="222"/>
      <c r="T92" s="222"/>
      <c r="U92" s="222"/>
      <c r="V92" s="222"/>
      <c r="W92" s="222"/>
      <c r="X92" s="222"/>
      <c r="Y92" s="221"/>
      <c r="Z92" s="221"/>
      <c r="AA92" s="221"/>
      <c r="AB92" s="276"/>
      <c r="AC92" s="276"/>
      <c r="AD92" s="276"/>
      <c r="AE92" s="276"/>
      <c r="AF92" s="276"/>
      <c r="AG92" s="276"/>
      <c r="AH92" s="276"/>
      <c r="AI92" s="276"/>
      <c r="AJ92" s="276"/>
      <c r="AK92" s="276"/>
      <c r="AL92" s="276"/>
      <c r="AM92" s="276"/>
      <c r="AN92" s="276"/>
      <c r="AO92" s="276"/>
      <c r="AP92" s="276"/>
      <c r="AQ92" s="276"/>
      <c r="AR92" s="276"/>
      <c r="AS92" s="276"/>
    </row>
    <row r="93" spans="1:45" s="216" customFormat="1">
      <c r="A93" s="276"/>
      <c r="B93" s="276"/>
      <c r="C93" s="276"/>
      <c r="D93" s="276"/>
      <c r="E93" s="276"/>
      <c r="F93" s="276"/>
      <c r="G93" s="276"/>
      <c r="H93" s="276"/>
      <c r="I93" s="276"/>
      <c r="J93" s="222"/>
      <c r="K93" s="222"/>
      <c r="L93" s="222"/>
      <c r="M93" s="222"/>
      <c r="N93" s="222"/>
      <c r="O93" s="222"/>
      <c r="P93" s="222"/>
      <c r="Q93" s="222"/>
      <c r="R93" s="222"/>
      <c r="S93" s="222"/>
      <c r="T93" s="222"/>
      <c r="U93" s="222"/>
      <c r="V93" s="222"/>
      <c r="W93" s="222"/>
      <c r="X93" s="222"/>
      <c r="Y93" s="221"/>
      <c r="Z93" s="221"/>
      <c r="AA93" s="221"/>
      <c r="AB93" s="276"/>
      <c r="AC93" s="276"/>
      <c r="AD93" s="276"/>
      <c r="AE93" s="276"/>
      <c r="AF93" s="276"/>
      <c r="AG93" s="276"/>
      <c r="AH93" s="276"/>
      <c r="AI93" s="276"/>
      <c r="AJ93" s="276"/>
      <c r="AK93" s="276"/>
      <c r="AL93" s="276"/>
      <c r="AM93" s="276"/>
      <c r="AN93" s="276"/>
      <c r="AO93" s="276"/>
      <c r="AP93" s="276"/>
      <c r="AQ93" s="276"/>
      <c r="AR93" s="276"/>
      <c r="AS93" s="276"/>
    </row>
    <row r="94" spans="1:45" s="216" customFormat="1">
      <c r="A94" s="276"/>
      <c r="B94" s="276"/>
      <c r="C94" s="276"/>
      <c r="D94" s="276"/>
      <c r="E94" s="276"/>
      <c r="F94" s="276"/>
      <c r="G94" s="276"/>
      <c r="H94" s="276"/>
      <c r="I94" s="276"/>
      <c r="J94" s="222"/>
      <c r="K94" s="222"/>
      <c r="L94" s="222"/>
      <c r="M94" s="222"/>
      <c r="N94" s="222"/>
      <c r="O94" s="222"/>
      <c r="P94" s="222"/>
      <c r="Q94" s="222"/>
      <c r="R94" s="222"/>
      <c r="S94" s="222"/>
      <c r="T94" s="222"/>
      <c r="U94" s="222"/>
      <c r="V94" s="222"/>
      <c r="W94" s="222"/>
      <c r="X94" s="222"/>
      <c r="Y94" s="221"/>
      <c r="Z94" s="221"/>
      <c r="AA94" s="221"/>
      <c r="AB94" s="276"/>
      <c r="AC94" s="276"/>
      <c r="AD94" s="276"/>
      <c r="AE94" s="276"/>
      <c r="AF94" s="276"/>
      <c r="AG94" s="276"/>
      <c r="AH94" s="276"/>
      <c r="AI94" s="276"/>
      <c r="AJ94" s="276"/>
      <c r="AK94" s="276"/>
      <c r="AL94" s="276"/>
      <c r="AM94" s="276"/>
      <c r="AN94" s="276"/>
      <c r="AO94" s="276"/>
      <c r="AP94" s="276"/>
      <c r="AQ94" s="276"/>
      <c r="AR94" s="276"/>
      <c r="AS94" s="276"/>
    </row>
    <row r="95" spans="1:45" s="216" customFormat="1">
      <c r="A95" s="276"/>
      <c r="B95" s="276"/>
      <c r="C95" s="276"/>
      <c r="D95" s="276"/>
      <c r="E95" s="276"/>
      <c r="F95" s="276"/>
      <c r="G95" s="276"/>
      <c r="H95" s="276"/>
      <c r="I95" s="276"/>
      <c r="J95" s="222"/>
      <c r="K95" s="222"/>
      <c r="L95" s="222"/>
      <c r="M95" s="222"/>
      <c r="N95" s="222"/>
      <c r="O95" s="222"/>
      <c r="P95" s="222"/>
      <c r="Q95" s="222"/>
      <c r="R95" s="222"/>
      <c r="S95" s="222"/>
      <c r="T95" s="222"/>
      <c r="U95" s="222"/>
      <c r="V95" s="222"/>
      <c r="W95" s="222"/>
      <c r="X95" s="222"/>
      <c r="Y95" s="221"/>
      <c r="Z95" s="221"/>
      <c r="AA95" s="221"/>
      <c r="AB95" s="276"/>
      <c r="AC95" s="276"/>
      <c r="AD95" s="276"/>
      <c r="AE95" s="276"/>
      <c r="AF95" s="276"/>
      <c r="AG95" s="276"/>
      <c r="AH95" s="276"/>
      <c r="AI95" s="276"/>
      <c r="AJ95" s="276"/>
      <c r="AK95" s="276"/>
      <c r="AL95" s="276"/>
      <c r="AM95" s="276"/>
      <c r="AN95" s="276"/>
      <c r="AO95" s="276"/>
      <c r="AP95" s="276"/>
      <c r="AQ95" s="276"/>
      <c r="AR95" s="276"/>
      <c r="AS95" s="276"/>
    </row>
    <row r="96" spans="1:45" s="216" customFormat="1">
      <c r="A96" s="276"/>
      <c r="B96" s="276"/>
      <c r="C96" s="276"/>
      <c r="D96" s="276"/>
      <c r="E96" s="276"/>
      <c r="F96" s="276"/>
      <c r="G96" s="276"/>
      <c r="H96" s="276"/>
      <c r="I96" s="276"/>
      <c r="J96" s="222"/>
      <c r="K96" s="222"/>
      <c r="L96" s="222"/>
      <c r="M96" s="222"/>
      <c r="N96" s="222"/>
      <c r="O96" s="222"/>
      <c r="P96" s="222"/>
      <c r="Q96" s="222"/>
      <c r="R96" s="222"/>
      <c r="S96" s="222"/>
      <c r="T96" s="222"/>
      <c r="U96" s="222"/>
      <c r="V96" s="222"/>
      <c r="W96" s="222"/>
      <c r="X96" s="222"/>
      <c r="Y96" s="221"/>
      <c r="Z96" s="221"/>
      <c r="AA96" s="221"/>
      <c r="AB96" s="276"/>
      <c r="AC96" s="276"/>
      <c r="AD96" s="276"/>
      <c r="AE96" s="276"/>
      <c r="AF96" s="276"/>
      <c r="AG96" s="276"/>
      <c r="AH96" s="276"/>
      <c r="AI96" s="276"/>
      <c r="AJ96" s="276"/>
      <c r="AK96" s="276"/>
      <c r="AL96" s="276"/>
      <c r="AM96" s="276"/>
      <c r="AN96" s="276"/>
      <c r="AO96" s="276"/>
      <c r="AP96" s="276"/>
      <c r="AQ96" s="276"/>
      <c r="AR96" s="276"/>
      <c r="AS96" s="276"/>
    </row>
    <row r="97" spans="1:45" s="216" customFormat="1">
      <c r="A97" s="276"/>
      <c r="B97" s="276"/>
      <c r="C97" s="276"/>
      <c r="D97" s="276"/>
      <c r="E97" s="276"/>
      <c r="F97" s="276"/>
      <c r="G97" s="276"/>
      <c r="H97" s="276"/>
      <c r="I97" s="276"/>
      <c r="J97" s="222"/>
      <c r="K97" s="222"/>
      <c r="L97" s="222"/>
      <c r="M97" s="222"/>
      <c r="N97" s="222"/>
      <c r="O97" s="222"/>
      <c r="P97" s="222"/>
      <c r="Q97" s="222"/>
      <c r="R97" s="222"/>
      <c r="S97" s="222"/>
      <c r="T97" s="222"/>
      <c r="U97" s="222"/>
      <c r="V97" s="222"/>
      <c r="W97" s="222"/>
      <c r="X97" s="222"/>
      <c r="Y97" s="221"/>
      <c r="Z97" s="221"/>
      <c r="AA97" s="221"/>
      <c r="AB97" s="276"/>
      <c r="AC97" s="276"/>
      <c r="AD97" s="276"/>
      <c r="AE97" s="276"/>
      <c r="AF97" s="276"/>
      <c r="AG97" s="276"/>
      <c r="AH97" s="276"/>
      <c r="AI97" s="276"/>
      <c r="AJ97" s="276"/>
      <c r="AK97" s="276"/>
      <c r="AL97" s="276"/>
      <c r="AM97" s="276"/>
      <c r="AN97" s="276"/>
      <c r="AO97" s="276"/>
      <c r="AP97" s="276"/>
      <c r="AQ97" s="276"/>
      <c r="AR97" s="276"/>
      <c r="AS97" s="276"/>
    </row>
    <row r="98" spans="1:45" s="216" customFormat="1">
      <c r="A98" s="276"/>
      <c r="B98" s="276"/>
      <c r="C98" s="276"/>
      <c r="D98" s="276"/>
      <c r="E98" s="276"/>
      <c r="F98" s="276"/>
      <c r="G98" s="276"/>
      <c r="H98" s="276"/>
      <c r="I98" s="276"/>
      <c r="J98" s="222"/>
      <c r="K98" s="222"/>
      <c r="L98" s="222"/>
      <c r="M98" s="222"/>
      <c r="N98" s="222"/>
      <c r="O98" s="222"/>
      <c r="P98" s="222"/>
      <c r="Q98" s="222"/>
      <c r="R98" s="222"/>
      <c r="S98" s="222"/>
      <c r="T98" s="222"/>
      <c r="U98" s="222"/>
      <c r="V98" s="222"/>
      <c r="W98" s="222"/>
      <c r="X98" s="222"/>
      <c r="Y98" s="221"/>
      <c r="Z98" s="221"/>
      <c r="AA98" s="221"/>
      <c r="AB98" s="276"/>
      <c r="AC98" s="276"/>
      <c r="AD98" s="276"/>
      <c r="AE98" s="276"/>
      <c r="AF98" s="276"/>
      <c r="AG98" s="276"/>
      <c r="AH98" s="276"/>
      <c r="AI98" s="276"/>
      <c r="AJ98" s="276"/>
      <c r="AK98" s="276"/>
      <c r="AL98" s="276"/>
      <c r="AM98" s="276"/>
      <c r="AN98" s="276"/>
      <c r="AO98" s="276"/>
      <c r="AP98" s="276"/>
      <c r="AQ98" s="276"/>
      <c r="AR98" s="276"/>
      <c r="AS98" s="276"/>
    </row>
    <row r="99" spans="1:45" s="216" customFormat="1">
      <c r="A99" s="276"/>
      <c r="B99" s="276"/>
      <c r="C99" s="276"/>
      <c r="D99" s="276"/>
      <c r="E99" s="276"/>
      <c r="F99" s="276"/>
      <c r="G99" s="276"/>
      <c r="H99" s="276"/>
      <c r="I99" s="276"/>
      <c r="J99" s="222"/>
      <c r="K99" s="222"/>
      <c r="L99" s="222"/>
      <c r="M99" s="222"/>
      <c r="N99" s="222"/>
      <c r="O99" s="222"/>
      <c r="P99" s="222"/>
      <c r="Q99" s="222"/>
      <c r="R99" s="222"/>
      <c r="S99" s="222"/>
      <c r="T99" s="222"/>
      <c r="U99" s="222"/>
      <c r="V99" s="222"/>
      <c r="W99" s="222"/>
      <c r="X99" s="222"/>
      <c r="Y99" s="276"/>
      <c r="Z99" s="276"/>
      <c r="AA99" s="276"/>
      <c r="AB99" s="276"/>
      <c r="AC99" s="276"/>
      <c r="AD99" s="276"/>
      <c r="AE99" s="276"/>
      <c r="AF99" s="276"/>
      <c r="AG99" s="276"/>
      <c r="AH99" s="276"/>
      <c r="AI99" s="276"/>
      <c r="AJ99" s="276"/>
      <c r="AK99" s="276"/>
      <c r="AL99" s="276"/>
      <c r="AM99" s="276"/>
      <c r="AN99" s="276"/>
      <c r="AO99" s="276"/>
      <c r="AP99" s="276"/>
      <c r="AQ99" s="276"/>
      <c r="AR99" s="276"/>
      <c r="AS99" s="276"/>
    </row>
  </sheetData>
  <sheetProtection sheet="1" objects="1" scenarios="1"/>
  <mergeCells count="2">
    <mergeCell ref="L13:L15"/>
    <mergeCell ref="C34:G34"/>
  </mergeCells>
  <dataValidations count="3">
    <dataValidation type="list" allowBlank="1" showInputMessage="1" showErrorMessage="1" sqref="E16:E21" xr:uid="{00000000-0002-0000-0700-000000000000}">
      <formula1>$K$10:$K$12</formula1>
    </dataValidation>
    <dataValidation type="list" allowBlank="1" showInputMessage="1" showErrorMessage="1" sqref="B16:B21" xr:uid="{00000000-0002-0000-0700-000001000000}">
      <formula1>$U$13:$U$22</formula1>
    </dataValidation>
    <dataValidation type="decimal" operator="greaterThanOrEqual" allowBlank="1" showInputMessage="1" showErrorMessage="1" sqref="C16:C21" xr:uid="{00000000-0002-0000-0700-000002000000}">
      <formula1>0</formula1>
    </dataValidation>
  </dataValidations>
  <printOptions horizontalCentered="1"/>
  <pageMargins left="1" right="1" top="0.75" bottom="0.75" header="0.3" footer="0.3"/>
  <pageSetup scale="1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AJ99"/>
  <sheetViews>
    <sheetView showZeros="0" topLeftCell="A31" workbookViewId="0"/>
  </sheetViews>
  <sheetFormatPr defaultColWidth="9.140625" defaultRowHeight="12.75"/>
  <cols>
    <col min="1" max="1" width="43.28515625" style="276" customWidth="1"/>
    <col min="2" max="2" width="26.85546875" style="276" customWidth="1"/>
    <col min="3" max="3" width="11" style="276" customWidth="1"/>
    <col min="4" max="4" width="10.7109375" style="276" customWidth="1"/>
    <col min="5" max="5" width="11.28515625" style="276" customWidth="1"/>
    <col min="6" max="6" width="9.42578125" style="276" customWidth="1"/>
    <col min="7" max="7" width="7.7109375" style="276" customWidth="1"/>
    <col min="8" max="8" width="14.140625" style="276" customWidth="1"/>
    <col min="9" max="9" width="18" style="222" customWidth="1"/>
    <col min="10" max="11" width="9.7109375" style="222" hidden="1" customWidth="1"/>
    <col min="12" max="12" width="20.5703125" style="222" hidden="1" customWidth="1"/>
    <col min="13" max="23" width="0" style="222" hidden="1" customWidth="1"/>
    <col min="24" max="24" width="9.140625" style="222"/>
    <col min="25" max="36" width="9.140625" style="276"/>
    <col min="37" max="16384" width="9.140625" style="238"/>
  </cols>
  <sheetData>
    <row r="1" spans="1:27" ht="39.75" thickBot="1">
      <c r="B1" s="44" t="s">
        <v>236</v>
      </c>
      <c r="C1" s="215"/>
      <c r="D1" s="215"/>
      <c r="E1" s="196">
        <f>Inputs!G60</f>
        <v>0</v>
      </c>
      <c r="F1" s="224" t="s">
        <v>143</v>
      </c>
      <c r="G1" s="215"/>
      <c r="H1" s="215"/>
      <c r="J1" s="416"/>
      <c r="K1" s="416"/>
      <c r="L1" s="417" t="s">
        <v>186</v>
      </c>
      <c r="M1" s="417" t="str">
        <f>IF(Inputs!$B$68=0,"",Inputs!$B$68)</f>
        <v>Creep Feed</v>
      </c>
      <c r="N1" s="417" t="str">
        <f>IF(Inputs!$B$69=0,"",Inputs!$B$69)</f>
        <v xml:space="preserve">Pasture </v>
      </c>
      <c r="O1" s="417" t="str">
        <f>IF(Inputs!B70=0,"",Inputs!B70)</f>
        <v>Prairie Hay</v>
      </c>
      <c r="P1" s="417" t="str">
        <f>IF(Inputs!B71=0,"",Inputs!B71)</f>
        <v>Alfalfa</v>
      </c>
      <c r="Q1" s="417" t="str">
        <f>IF(Inputs!B72=0,"",Inputs!B72)</f>
        <v>DDG Cubes</v>
      </c>
      <c r="R1" s="417" t="str">
        <f>IF(Inputs!B73=0,"",Inputs!B73)</f>
        <v>Salt and Mineral</v>
      </c>
      <c r="S1" s="417" t="str">
        <f>IF(Inputs!B74=0,"",Inputs!B74)</f>
        <v>Silage</v>
      </c>
      <c r="T1" s="417" t="str">
        <f>IF(Inputs!B75=0,"",Inputs!B75)</f>
        <v>Corn</v>
      </c>
      <c r="U1" s="417" t="str">
        <f>IF(Inputs!B76=0,"",Inputs!B76)</f>
        <v>Wet Distiller's Grain</v>
      </c>
      <c r="V1" s="417" t="str">
        <f>IF(Inputs!B77=0,"",Inputs!B77)</f>
        <v>Corn Stalks</v>
      </c>
      <c r="W1" s="419" t="s">
        <v>30</v>
      </c>
    </row>
    <row r="2" spans="1:27" ht="16.5" thickBot="1">
      <c r="B2" s="41" t="s">
        <v>96</v>
      </c>
      <c r="C2" s="108"/>
      <c r="D2" s="109"/>
      <c r="E2" s="109"/>
      <c r="F2" s="41"/>
      <c r="G2" s="119"/>
      <c r="H2" s="400" t="s">
        <v>73</v>
      </c>
      <c r="J2" s="418"/>
      <c r="K2" s="418"/>
      <c r="L2" s="418">
        <f t="shared" ref="L2:L7" si="0">B15</f>
        <v>0</v>
      </c>
      <c r="M2" s="418">
        <f t="shared" ref="M2:V2" si="1">IF(M$1=$L2,$J15,0)</f>
        <v>0</v>
      </c>
      <c r="N2" s="418">
        <f t="shared" si="1"/>
        <v>0</v>
      </c>
      <c r="O2" s="418">
        <f t="shared" si="1"/>
        <v>0</v>
      </c>
      <c r="P2" s="418">
        <f t="shared" si="1"/>
        <v>0</v>
      </c>
      <c r="Q2" s="418">
        <f t="shared" si="1"/>
        <v>0</v>
      </c>
      <c r="R2" s="418">
        <f t="shared" si="1"/>
        <v>0</v>
      </c>
      <c r="S2" s="418">
        <f t="shared" si="1"/>
        <v>0</v>
      </c>
      <c r="T2" s="418">
        <f t="shared" si="1"/>
        <v>0</v>
      </c>
      <c r="U2" s="418">
        <f t="shared" si="1"/>
        <v>0</v>
      </c>
      <c r="V2" s="418">
        <f t="shared" si="1"/>
        <v>0</v>
      </c>
      <c r="W2" s="418">
        <f t="shared" ref="W2:W7" si="2">SUM(M2:V2)</f>
        <v>0</v>
      </c>
    </row>
    <row r="3" spans="1:27">
      <c r="B3" s="254"/>
      <c r="C3" s="391" t="s">
        <v>43</v>
      </c>
      <c r="D3" s="392" t="s">
        <v>29</v>
      </c>
      <c r="E3" s="392" t="s">
        <v>5</v>
      </c>
      <c r="F3" s="120"/>
      <c r="G3" s="121"/>
      <c r="H3" s="91" t="s">
        <v>30</v>
      </c>
      <c r="J3" s="416"/>
      <c r="K3" s="416"/>
      <c r="L3" s="418">
        <f t="shared" si="0"/>
        <v>0</v>
      </c>
      <c r="M3" s="418">
        <f t="shared" ref="M3:V3" si="3">IF(M$1=$L3,$J16,0)</f>
        <v>0</v>
      </c>
      <c r="N3" s="418">
        <f t="shared" si="3"/>
        <v>0</v>
      </c>
      <c r="O3" s="418">
        <f t="shared" si="3"/>
        <v>0</v>
      </c>
      <c r="P3" s="418">
        <f t="shared" si="3"/>
        <v>0</v>
      </c>
      <c r="Q3" s="418">
        <f t="shared" si="3"/>
        <v>0</v>
      </c>
      <c r="R3" s="418">
        <f t="shared" si="3"/>
        <v>0</v>
      </c>
      <c r="S3" s="418">
        <f t="shared" si="3"/>
        <v>0</v>
      </c>
      <c r="T3" s="418">
        <f t="shared" si="3"/>
        <v>0</v>
      </c>
      <c r="U3" s="418">
        <f t="shared" si="3"/>
        <v>0</v>
      </c>
      <c r="V3" s="418">
        <f t="shared" si="3"/>
        <v>0</v>
      </c>
      <c r="W3" s="418">
        <f t="shared" si="2"/>
        <v>0</v>
      </c>
    </row>
    <row r="4" spans="1:27">
      <c r="B4" s="249" t="s">
        <v>235</v>
      </c>
      <c r="C4" s="192">
        <f>Inputs!O63</f>
        <v>0</v>
      </c>
      <c r="D4" s="368">
        <f>Inputs!G63</f>
        <v>0</v>
      </c>
      <c r="E4" s="403">
        <f>Inputs!G64</f>
        <v>0</v>
      </c>
      <c r="F4" s="250" t="s">
        <v>1</v>
      </c>
      <c r="G4" s="367"/>
      <c r="H4" s="453">
        <f>C4*D4*E4/100</f>
        <v>0</v>
      </c>
      <c r="J4" s="416"/>
      <c r="K4" s="416"/>
      <c r="L4" s="418">
        <f t="shared" si="0"/>
        <v>0</v>
      </c>
      <c r="M4" s="418">
        <f t="shared" ref="M4:V4" si="4">IF(M$1=$L4,$J17,0)</f>
        <v>0</v>
      </c>
      <c r="N4" s="418">
        <f t="shared" si="4"/>
        <v>0</v>
      </c>
      <c r="O4" s="418">
        <f t="shared" si="4"/>
        <v>0</v>
      </c>
      <c r="P4" s="418">
        <f t="shared" si="4"/>
        <v>0</v>
      </c>
      <c r="Q4" s="418">
        <f t="shared" si="4"/>
        <v>0</v>
      </c>
      <c r="R4" s="418">
        <f t="shared" si="4"/>
        <v>0</v>
      </c>
      <c r="S4" s="418">
        <f t="shared" si="4"/>
        <v>0</v>
      </c>
      <c r="T4" s="418">
        <f t="shared" si="4"/>
        <v>0</v>
      </c>
      <c r="U4" s="418">
        <f t="shared" si="4"/>
        <v>0</v>
      </c>
      <c r="V4" s="418">
        <f t="shared" si="4"/>
        <v>0</v>
      </c>
      <c r="W4" s="418">
        <f t="shared" si="2"/>
        <v>0</v>
      </c>
    </row>
    <row r="5" spans="1:27" ht="13.5" thickBot="1">
      <c r="B5" s="249"/>
      <c r="C5" s="242"/>
      <c r="D5" s="250"/>
      <c r="E5" s="250"/>
      <c r="F5" s="250"/>
      <c r="G5" s="264"/>
      <c r="H5" s="453"/>
      <c r="J5" s="416"/>
      <c r="K5" s="416"/>
      <c r="L5" s="418">
        <f t="shared" si="0"/>
        <v>0</v>
      </c>
      <c r="M5" s="418">
        <f t="shared" ref="M5:V5" si="5">IF(M$1=$L5,$J18,0)</f>
        <v>0</v>
      </c>
      <c r="N5" s="418">
        <f t="shared" si="5"/>
        <v>0</v>
      </c>
      <c r="O5" s="418">
        <f t="shared" si="5"/>
        <v>0</v>
      </c>
      <c r="P5" s="418">
        <f t="shared" si="5"/>
        <v>0</v>
      </c>
      <c r="Q5" s="418">
        <f t="shared" si="5"/>
        <v>0</v>
      </c>
      <c r="R5" s="418">
        <f t="shared" si="5"/>
        <v>0</v>
      </c>
      <c r="S5" s="418">
        <f t="shared" si="5"/>
        <v>0</v>
      </c>
      <c r="T5" s="418">
        <f t="shared" si="5"/>
        <v>0</v>
      </c>
      <c r="U5" s="418">
        <f t="shared" si="5"/>
        <v>0</v>
      </c>
      <c r="V5" s="418">
        <f t="shared" si="5"/>
        <v>0</v>
      </c>
      <c r="W5" s="418">
        <f t="shared" si="2"/>
        <v>0</v>
      </c>
    </row>
    <row r="6" spans="1:27" ht="13.5" thickBot="1">
      <c r="B6" s="123"/>
      <c r="C6" s="96"/>
      <c r="D6" s="42"/>
      <c r="E6" s="42"/>
      <c r="F6" s="42"/>
      <c r="G6" s="97" t="s">
        <v>109</v>
      </c>
      <c r="H6" s="630">
        <f>SUM(H4:H5)</f>
        <v>0</v>
      </c>
      <c r="J6" s="416"/>
      <c r="K6" s="416"/>
      <c r="L6" s="418">
        <f t="shared" si="0"/>
        <v>0</v>
      </c>
      <c r="M6" s="418">
        <f t="shared" ref="M6:V6" si="6">IF(M$1=$L6,$J19,0)</f>
        <v>0</v>
      </c>
      <c r="N6" s="418">
        <f t="shared" si="6"/>
        <v>0</v>
      </c>
      <c r="O6" s="418">
        <f t="shared" si="6"/>
        <v>0</v>
      </c>
      <c r="P6" s="418">
        <f t="shared" si="6"/>
        <v>0</v>
      </c>
      <c r="Q6" s="418">
        <f t="shared" si="6"/>
        <v>0</v>
      </c>
      <c r="R6" s="418">
        <f t="shared" si="6"/>
        <v>0</v>
      </c>
      <c r="S6" s="418">
        <f t="shared" si="6"/>
        <v>0</v>
      </c>
      <c r="T6" s="418">
        <f t="shared" si="6"/>
        <v>0</v>
      </c>
      <c r="U6" s="418">
        <f t="shared" si="6"/>
        <v>0</v>
      </c>
      <c r="V6" s="418">
        <f t="shared" si="6"/>
        <v>0</v>
      </c>
      <c r="W6" s="418">
        <f t="shared" si="2"/>
        <v>0</v>
      </c>
    </row>
    <row r="7" spans="1:27" ht="13.5" thickBot="1">
      <c r="B7" s="53"/>
      <c r="C7" s="53"/>
      <c r="D7" s="43"/>
      <c r="E7" s="43"/>
      <c r="F7" s="43"/>
      <c r="G7" s="43"/>
      <c r="H7" s="591"/>
      <c r="J7" s="416"/>
      <c r="K7" s="416"/>
      <c r="L7" s="418">
        <f t="shared" si="0"/>
        <v>0</v>
      </c>
      <c r="M7" s="418">
        <f t="shared" ref="M7:V7" si="7">IF(M$1=$L7,$J20,0)</f>
        <v>0</v>
      </c>
      <c r="N7" s="418">
        <f t="shared" si="7"/>
        <v>0</v>
      </c>
      <c r="O7" s="418">
        <f t="shared" si="7"/>
        <v>0</v>
      </c>
      <c r="P7" s="418">
        <f t="shared" si="7"/>
        <v>0</v>
      </c>
      <c r="Q7" s="418">
        <f t="shared" si="7"/>
        <v>0</v>
      </c>
      <c r="R7" s="418">
        <f t="shared" si="7"/>
        <v>0</v>
      </c>
      <c r="S7" s="418">
        <f t="shared" si="7"/>
        <v>0</v>
      </c>
      <c r="T7" s="418">
        <f t="shared" si="7"/>
        <v>0</v>
      </c>
      <c r="U7" s="418">
        <f t="shared" si="7"/>
        <v>0</v>
      </c>
      <c r="V7" s="418">
        <f t="shared" si="7"/>
        <v>0</v>
      </c>
      <c r="W7" s="418">
        <f t="shared" si="2"/>
        <v>0</v>
      </c>
    </row>
    <row r="8" spans="1:27" ht="16.5" thickBot="1">
      <c r="B8" s="41" t="s">
        <v>95</v>
      </c>
      <c r="C8" s="108"/>
      <c r="D8" s="109"/>
      <c r="E8" s="109"/>
      <c r="F8" s="109"/>
      <c r="G8" s="109"/>
      <c r="H8" s="631" t="s">
        <v>73</v>
      </c>
      <c r="J8" s="416"/>
      <c r="K8" s="416"/>
      <c r="L8" s="418" t="s">
        <v>30</v>
      </c>
      <c r="M8" s="418">
        <f>SUM(M2:M7)</f>
        <v>0</v>
      </c>
      <c r="N8" s="418">
        <f t="shared" ref="N8:V8" si="8">SUM(N2:N7)</f>
        <v>0</v>
      </c>
      <c r="O8" s="418">
        <f t="shared" si="8"/>
        <v>0</v>
      </c>
      <c r="P8" s="418">
        <f t="shared" si="8"/>
        <v>0</v>
      </c>
      <c r="Q8" s="418">
        <f t="shared" si="8"/>
        <v>0</v>
      </c>
      <c r="R8" s="418">
        <f t="shared" si="8"/>
        <v>0</v>
      </c>
      <c r="S8" s="418">
        <f t="shared" si="8"/>
        <v>0</v>
      </c>
      <c r="T8" s="418">
        <f t="shared" si="8"/>
        <v>0</v>
      </c>
      <c r="U8" s="418">
        <f t="shared" si="8"/>
        <v>0</v>
      </c>
      <c r="V8" s="418">
        <f t="shared" si="8"/>
        <v>0</v>
      </c>
      <c r="W8" s="418"/>
    </row>
    <row r="9" spans="1:27">
      <c r="B9" s="261"/>
      <c r="C9" s="394" t="s">
        <v>43</v>
      </c>
      <c r="D9" s="395" t="s">
        <v>29</v>
      </c>
      <c r="E9" s="395" t="s">
        <v>5</v>
      </c>
      <c r="F9" s="268"/>
      <c r="G9" s="284"/>
      <c r="H9" s="632" t="s">
        <v>30</v>
      </c>
      <c r="J9" s="416" t="s">
        <v>60</v>
      </c>
      <c r="K9" s="416"/>
      <c r="L9" s="416"/>
      <c r="M9" s="416"/>
      <c r="N9" s="416"/>
      <c r="O9" s="416"/>
      <c r="P9" s="416"/>
      <c r="Q9" s="416"/>
      <c r="R9" s="416"/>
      <c r="S9" s="416"/>
      <c r="T9" s="416"/>
      <c r="U9" s="416"/>
      <c r="V9" s="416"/>
      <c r="W9" s="416"/>
    </row>
    <row r="10" spans="1:27">
      <c r="B10" s="27" t="s">
        <v>234</v>
      </c>
      <c r="C10" s="117">
        <f>Inputs!G62</f>
        <v>0</v>
      </c>
      <c r="D10" s="189">
        <f>Inputs!G15</f>
        <v>1300</v>
      </c>
      <c r="E10" s="251">
        <f>Inputs!G16</f>
        <v>64</v>
      </c>
      <c r="F10" s="250" t="s">
        <v>1</v>
      </c>
      <c r="G10" s="264"/>
      <c r="H10" s="633">
        <f>IF(C10=0,0,C10*D10*E10/100)</f>
        <v>0</v>
      </c>
      <c r="J10" s="416" t="s">
        <v>63</v>
      </c>
      <c r="K10" s="416"/>
      <c r="L10" s="416"/>
      <c r="M10" s="416"/>
      <c r="N10" s="416"/>
      <c r="O10" s="416"/>
      <c r="P10" s="416"/>
      <c r="Q10" s="416"/>
      <c r="R10" s="416"/>
      <c r="S10" s="416"/>
      <c r="T10" s="416"/>
      <c r="U10" s="416"/>
      <c r="V10" s="416"/>
      <c r="W10" s="416"/>
    </row>
    <row r="11" spans="1:27" ht="12.75" customHeight="1" thickBot="1">
      <c r="B11" s="254"/>
      <c r="C11" s="117"/>
      <c r="D11" s="189"/>
      <c r="E11" s="251"/>
      <c r="F11" s="250"/>
      <c r="G11" s="264"/>
      <c r="H11" s="634"/>
      <c r="J11" s="418"/>
      <c r="K11" s="418"/>
      <c r="L11" s="416"/>
      <c r="M11" s="416"/>
      <c r="N11" s="416"/>
      <c r="O11" s="416"/>
      <c r="P11" s="416"/>
      <c r="Q11" s="416"/>
      <c r="R11" s="416"/>
      <c r="S11" s="416"/>
      <c r="T11" s="416"/>
      <c r="U11" s="416"/>
      <c r="V11" s="416"/>
      <c r="W11" s="416"/>
    </row>
    <row r="12" spans="1:27" ht="12.75" customHeight="1" thickTop="1">
      <c r="B12" s="283"/>
      <c r="C12" s="259"/>
      <c r="D12" s="250"/>
      <c r="E12" s="250"/>
      <c r="F12" s="250"/>
      <c r="G12" s="257" t="s">
        <v>149</v>
      </c>
      <c r="H12" s="635">
        <f>SUM(H10:H11)</f>
        <v>0</v>
      </c>
      <c r="J12" s="418"/>
      <c r="K12" s="418"/>
      <c r="L12" s="416"/>
      <c r="M12" s="416"/>
      <c r="N12" s="416"/>
      <c r="O12" s="416"/>
      <c r="P12" s="416"/>
      <c r="Q12" s="416"/>
      <c r="R12" s="416"/>
      <c r="S12" s="416"/>
      <c r="T12" s="416"/>
      <c r="U12" s="416"/>
      <c r="V12" s="416"/>
      <c r="W12" s="416"/>
    </row>
    <row r="13" spans="1:27" ht="13.5" customHeight="1">
      <c r="B13" s="249"/>
      <c r="C13" s="370"/>
      <c r="D13" s="250"/>
      <c r="E13" s="259"/>
      <c r="F13" s="250"/>
      <c r="G13" s="250"/>
      <c r="H13" s="635"/>
      <c r="J13" s="418"/>
      <c r="K13" s="418"/>
      <c r="L13" s="823"/>
      <c r="M13" s="418"/>
      <c r="N13" s="416"/>
      <c r="O13" s="416"/>
      <c r="P13" s="416"/>
      <c r="Q13" s="416"/>
      <c r="R13" s="416"/>
      <c r="S13" s="416"/>
      <c r="T13" s="416"/>
      <c r="U13" s="416" t="str">
        <f>IF(Inputs!B68="","",Inputs!B68)</f>
        <v>Creep Feed</v>
      </c>
      <c r="V13" s="416"/>
      <c r="W13" s="416"/>
      <c r="Y13" s="221"/>
      <c r="Z13" s="221"/>
      <c r="AA13" s="221"/>
    </row>
    <row r="14" spans="1:27" ht="38.25">
      <c r="A14" s="155"/>
      <c r="B14" s="254" t="s">
        <v>7</v>
      </c>
      <c r="C14" s="388" t="s">
        <v>67</v>
      </c>
      <c r="D14" s="250"/>
      <c r="E14" s="389" t="s">
        <v>62</v>
      </c>
      <c r="F14" s="269" t="s">
        <v>5</v>
      </c>
      <c r="G14" s="116"/>
      <c r="H14" s="636" t="s">
        <v>30</v>
      </c>
      <c r="J14" s="429"/>
      <c r="K14" s="429"/>
      <c r="L14" s="823"/>
      <c r="M14" s="418"/>
      <c r="N14" s="416"/>
      <c r="O14" s="416"/>
      <c r="P14" s="416"/>
      <c r="Q14" s="416"/>
      <c r="R14" s="416"/>
      <c r="S14" s="416"/>
      <c r="T14" s="416"/>
      <c r="U14" s="416" t="str">
        <f>IF(Inputs!B69="","",Inputs!B69)</f>
        <v xml:space="preserve">Pasture </v>
      </c>
      <c r="V14" s="416"/>
      <c r="W14" s="416"/>
      <c r="Y14" s="221"/>
      <c r="Z14" s="221"/>
      <c r="AA14" s="221"/>
    </row>
    <row r="15" spans="1:27" ht="18" customHeight="1">
      <c r="B15" s="745"/>
      <c r="C15" s="746"/>
      <c r="D15" s="277" t="str">
        <f t="shared" ref="D15:D20" si="9">IF(B15="","",CONCATENATE(VLOOKUP(B15,Feed,5,FALSE)))</f>
        <v/>
      </c>
      <c r="E15" s="748" t="s">
        <v>60</v>
      </c>
      <c r="F15" s="256" t="str">
        <f t="shared" ref="F15:F20" si="10">IF(B15="","",VLOOKUP(B15,Feed,7,FALSE))</f>
        <v/>
      </c>
      <c r="G15" s="272" t="str">
        <f t="shared" ref="G15:G20" si="11">IF(B15="","",CONCATENATE("$ ",VLOOKUP(B15,Feed,5,FALSE)))</f>
        <v/>
      </c>
      <c r="H15" s="451">
        <f t="shared" ref="H15:H20" si="12">IF(C15="",0,F15*J15)</f>
        <v>0</v>
      </c>
      <c r="J15" s="416">
        <f t="shared" ref="J15:J20" si="13">C15*IF(E15="total",1,IF(E15="per animal",($C$4+$C$10)/2,0))</f>
        <v>0</v>
      </c>
      <c r="K15" s="416"/>
      <c r="L15" s="823"/>
      <c r="M15" s="418"/>
      <c r="N15" s="416"/>
      <c r="O15" s="416"/>
      <c r="P15" s="416"/>
      <c r="Q15" s="416"/>
      <c r="R15" s="416"/>
      <c r="S15" s="416"/>
      <c r="T15" s="416"/>
      <c r="U15" s="416" t="str">
        <f>IF(Inputs!B70="","",Inputs!B70)</f>
        <v>Prairie Hay</v>
      </c>
      <c r="V15" s="416"/>
      <c r="W15" s="416"/>
      <c r="Y15" s="221"/>
      <c r="Z15" s="221"/>
      <c r="AA15" s="221"/>
    </row>
    <row r="16" spans="1:27">
      <c r="B16" s="744"/>
      <c r="C16" s="747"/>
      <c r="D16" s="277" t="str">
        <f t="shared" si="9"/>
        <v/>
      </c>
      <c r="E16" s="749" t="s">
        <v>60</v>
      </c>
      <c r="F16" s="256" t="str">
        <f t="shared" si="10"/>
        <v/>
      </c>
      <c r="G16" s="272" t="str">
        <f t="shared" si="11"/>
        <v/>
      </c>
      <c r="H16" s="451">
        <f t="shared" si="12"/>
        <v>0</v>
      </c>
      <c r="J16" s="416">
        <f t="shared" si="13"/>
        <v>0</v>
      </c>
      <c r="K16" s="416"/>
      <c r="L16" s="418"/>
      <c r="M16" s="430"/>
      <c r="N16" s="416"/>
      <c r="O16" s="431"/>
      <c r="P16" s="416"/>
      <c r="Q16" s="416"/>
      <c r="R16" s="416"/>
      <c r="S16" s="416"/>
      <c r="T16" s="416"/>
      <c r="U16" s="416" t="str">
        <f>IF(Inputs!B71="","",Inputs!B71)</f>
        <v>Alfalfa</v>
      </c>
      <c r="V16" s="416"/>
      <c r="W16" s="416"/>
      <c r="Y16" s="221"/>
      <c r="Z16" s="221"/>
      <c r="AA16" s="221"/>
    </row>
    <row r="17" spans="1:27">
      <c r="B17" s="204"/>
      <c r="C17" s="205"/>
      <c r="D17" s="277" t="str">
        <f t="shared" si="9"/>
        <v/>
      </c>
      <c r="E17" s="218"/>
      <c r="F17" s="256" t="str">
        <f t="shared" si="10"/>
        <v/>
      </c>
      <c r="G17" s="272" t="str">
        <f t="shared" si="11"/>
        <v/>
      </c>
      <c r="H17" s="451">
        <f t="shared" si="12"/>
        <v>0</v>
      </c>
      <c r="J17" s="416">
        <f t="shared" si="13"/>
        <v>0</v>
      </c>
      <c r="K17" s="416"/>
      <c r="L17" s="418"/>
      <c r="M17" s="418"/>
      <c r="N17" s="416"/>
      <c r="O17" s="416"/>
      <c r="P17" s="416"/>
      <c r="Q17" s="416"/>
      <c r="R17" s="416"/>
      <c r="S17" s="416"/>
      <c r="T17" s="416"/>
      <c r="U17" s="416" t="str">
        <f>IF(Inputs!B72="","",Inputs!B72)</f>
        <v>DDG Cubes</v>
      </c>
      <c r="V17" s="416"/>
      <c r="W17" s="416"/>
      <c r="Y17" s="221"/>
      <c r="Z17" s="221"/>
      <c r="AA17" s="221"/>
    </row>
    <row r="18" spans="1:27">
      <c r="B18" s="204"/>
      <c r="C18" s="205"/>
      <c r="D18" s="277" t="str">
        <f t="shared" si="9"/>
        <v/>
      </c>
      <c r="E18" s="218"/>
      <c r="F18" s="256" t="str">
        <f t="shared" si="10"/>
        <v/>
      </c>
      <c r="G18" s="272" t="str">
        <f t="shared" si="11"/>
        <v/>
      </c>
      <c r="H18" s="451">
        <f t="shared" si="12"/>
        <v>0</v>
      </c>
      <c r="J18" s="416">
        <f t="shared" si="13"/>
        <v>0</v>
      </c>
      <c r="K18" s="416"/>
      <c r="L18" s="418"/>
      <c r="M18" s="418"/>
      <c r="N18" s="416"/>
      <c r="O18" s="416"/>
      <c r="P18" s="416"/>
      <c r="Q18" s="416"/>
      <c r="R18" s="416"/>
      <c r="S18" s="416"/>
      <c r="T18" s="416"/>
      <c r="U18" s="416" t="str">
        <f>IF(Inputs!B73="","",Inputs!B73)</f>
        <v>Salt and Mineral</v>
      </c>
      <c r="V18" s="416"/>
      <c r="W18" s="416"/>
      <c r="Y18" s="221"/>
      <c r="Z18" s="221"/>
      <c r="AA18" s="221"/>
    </row>
    <row r="19" spans="1:27">
      <c r="B19" s="204"/>
      <c r="C19" s="205"/>
      <c r="D19" s="277" t="str">
        <f t="shared" si="9"/>
        <v/>
      </c>
      <c r="E19" s="218"/>
      <c r="F19" s="256" t="str">
        <f t="shared" si="10"/>
        <v/>
      </c>
      <c r="G19" s="272" t="str">
        <f t="shared" si="11"/>
        <v/>
      </c>
      <c r="H19" s="451">
        <f t="shared" si="12"/>
        <v>0</v>
      </c>
      <c r="J19" s="416">
        <f t="shared" si="13"/>
        <v>0</v>
      </c>
      <c r="K19" s="416"/>
      <c r="L19" s="418"/>
      <c r="M19" s="418"/>
      <c r="N19" s="416"/>
      <c r="O19" s="416"/>
      <c r="P19" s="416"/>
      <c r="Q19" s="416"/>
      <c r="R19" s="416"/>
      <c r="S19" s="416"/>
      <c r="T19" s="416"/>
      <c r="U19" s="416" t="str">
        <f>IF(Inputs!B74="","",Inputs!B74)</f>
        <v>Silage</v>
      </c>
      <c r="V19" s="416"/>
      <c r="W19" s="416"/>
      <c r="Y19" s="221"/>
      <c r="Z19" s="221"/>
      <c r="AA19" s="221"/>
    </row>
    <row r="20" spans="1:27" ht="13.5" thickBot="1">
      <c r="B20" s="204"/>
      <c r="C20" s="205"/>
      <c r="D20" s="277" t="str">
        <f t="shared" si="9"/>
        <v/>
      </c>
      <c r="E20" s="218"/>
      <c r="F20" s="256" t="str">
        <f t="shared" si="10"/>
        <v/>
      </c>
      <c r="G20" s="272" t="str">
        <f t="shared" si="11"/>
        <v/>
      </c>
      <c r="H20" s="452">
        <f t="shared" si="12"/>
        <v>0</v>
      </c>
      <c r="J20" s="416">
        <f t="shared" si="13"/>
        <v>0</v>
      </c>
      <c r="K20" s="416"/>
      <c r="L20" s="418"/>
      <c r="M20" s="418"/>
      <c r="N20" s="416"/>
      <c r="O20" s="416"/>
      <c r="P20" s="416"/>
      <c r="Q20" s="416"/>
      <c r="R20" s="416"/>
      <c r="S20" s="416"/>
      <c r="T20" s="416"/>
      <c r="U20" s="416" t="str">
        <f>IF(Inputs!B75="","",Inputs!B75)</f>
        <v>Corn</v>
      </c>
      <c r="V20" s="416"/>
      <c r="W20" s="416"/>
      <c r="Y20" s="221"/>
      <c r="Z20" s="221"/>
      <c r="AA20" s="221"/>
    </row>
    <row r="21" spans="1:27" ht="13.5" thickTop="1">
      <c r="B21" s="249"/>
      <c r="C21" s="75"/>
      <c r="D21" s="250"/>
      <c r="E21" s="257"/>
      <c r="F21" s="259"/>
      <c r="G21" s="257" t="s">
        <v>35</v>
      </c>
      <c r="H21" s="637">
        <f>SUM(H15:H20)</f>
        <v>0</v>
      </c>
      <c r="J21" s="416"/>
      <c r="K21" s="416"/>
      <c r="L21" s="418"/>
      <c r="M21" s="418"/>
      <c r="N21" s="416"/>
      <c r="O21" s="416"/>
      <c r="P21" s="416"/>
      <c r="Q21" s="416"/>
      <c r="R21" s="416"/>
      <c r="S21" s="416"/>
      <c r="T21" s="416"/>
      <c r="U21" s="416" t="str">
        <f>IF(Inputs!B76="","",Inputs!B76)</f>
        <v>Wet Distiller's Grain</v>
      </c>
      <c r="V21" s="416"/>
      <c r="W21" s="416"/>
      <c r="Y21" s="221"/>
      <c r="Z21" s="221"/>
      <c r="AA21" s="221"/>
    </row>
    <row r="22" spans="1:27">
      <c r="A22" s="156"/>
      <c r="B22" s="249"/>
      <c r="C22" s="242"/>
      <c r="D22" s="250"/>
      <c r="E22" s="250"/>
      <c r="F22" s="250"/>
      <c r="G22" s="250"/>
      <c r="H22" s="453"/>
      <c r="J22" s="416"/>
      <c r="K22" s="416"/>
      <c r="L22" s="416"/>
      <c r="M22" s="416"/>
      <c r="N22" s="416"/>
      <c r="O22" s="416"/>
      <c r="P22" s="416"/>
      <c r="Q22" s="416"/>
      <c r="R22" s="416"/>
      <c r="S22" s="416"/>
      <c r="T22" s="416"/>
      <c r="U22" s="416" t="str">
        <f>IF(Inputs!B77="","",Inputs!B77)</f>
        <v>Corn Stalks</v>
      </c>
      <c r="V22" s="416"/>
      <c r="W22" s="416"/>
      <c r="Y22" s="221"/>
      <c r="Z22" s="221"/>
      <c r="AA22" s="221"/>
    </row>
    <row r="23" spans="1:27">
      <c r="B23" s="262" t="s">
        <v>44</v>
      </c>
      <c r="C23" s="273"/>
      <c r="D23" s="390" t="s">
        <v>55</v>
      </c>
      <c r="E23" s="390" t="s">
        <v>176</v>
      </c>
      <c r="F23" s="392" t="s">
        <v>47</v>
      </c>
      <c r="G23" s="265"/>
      <c r="H23" s="638" t="s">
        <v>30</v>
      </c>
      <c r="I23" s="223"/>
      <c r="J23" s="416"/>
      <c r="K23" s="416"/>
      <c r="L23" s="416"/>
      <c r="M23" s="416"/>
      <c r="N23" s="416"/>
      <c r="O23" s="416"/>
      <c r="P23" s="416"/>
      <c r="Q23" s="416"/>
      <c r="R23" s="416"/>
      <c r="S23" s="416"/>
      <c r="T23" s="416"/>
      <c r="U23" s="416"/>
      <c r="V23" s="416"/>
      <c r="W23" s="416"/>
      <c r="Y23" s="221"/>
      <c r="Z23" s="221"/>
      <c r="AA23" s="221"/>
    </row>
    <row r="24" spans="1:27">
      <c r="B24" s="249" t="str">
        <f>Inputs!B81</f>
        <v>Labor</v>
      </c>
      <c r="C24" s="241"/>
      <c r="D24" s="365">
        <f>Inputs!D81</f>
        <v>10</v>
      </c>
      <c r="E24" s="396" t="str">
        <f>Inputs!E81</f>
        <v>per animal</v>
      </c>
      <c r="F24" s="124">
        <f>Inputs!U81</f>
        <v>0</v>
      </c>
      <c r="G24" s="264"/>
      <c r="H24" s="454">
        <f t="shared" ref="H24:H32" si="14">D24*IF(E24="per animal",$C$10+$C$11,1)*F24</f>
        <v>0</v>
      </c>
      <c r="J24" s="416"/>
      <c r="K24" s="416"/>
      <c r="L24" s="416"/>
      <c r="M24" s="416"/>
      <c r="N24" s="416"/>
      <c r="O24" s="416"/>
      <c r="P24" s="416"/>
      <c r="Q24" s="416"/>
      <c r="R24" s="416"/>
      <c r="S24" s="416"/>
      <c r="T24" s="416"/>
      <c r="U24" s="416"/>
      <c r="V24" s="416"/>
      <c r="W24" s="416"/>
      <c r="Y24" s="221"/>
      <c r="Z24" s="221"/>
      <c r="AA24" s="221"/>
    </row>
    <row r="25" spans="1:27">
      <c r="B25" s="249" t="str">
        <f>Inputs!B82</f>
        <v xml:space="preserve">Fuel / transportation </v>
      </c>
      <c r="C25" s="241"/>
      <c r="D25" s="365">
        <f>Inputs!D82</f>
        <v>15</v>
      </c>
      <c r="E25" s="396" t="str">
        <f>Inputs!E82</f>
        <v>per animal</v>
      </c>
      <c r="F25" s="124">
        <f>Inputs!U82</f>
        <v>0</v>
      </c>
      <c r="G25" s="264"/>
      <c r="H25" s="454">
        <f t="shared" si="14"/>
        <v>0</v>
      </c>
      <c r="J25" s="416"/>
      <c r="K25" s="416"/>
      <c r="L25" s="416"/>
      <c r="M25" s="416"/>
      <c r="N25" s="416"/>
      <c r="O25" s="416"/>
      <c r="P25" s="416"/>
      <c r="Q25" s="416"/>
      <c r="R25" s="416"/>
      <c r="S25" s="416"/>
      <c r="T25" s="416"/>
      <c r="U25" s="416"/>
      <c r="V25" s="416"/>
      <c r="W25" s="416"/>
      <c r="Y25" s="221"/>
      <c r="Z25" s="221"/>
      <c r="AA25" s="221"/>
    </row>
    <row r="26" spans="1:27">
      <c r="B26" s="249" t="str">
        <f>Inputs!B83</f>
        <v>Veterinary and Medical</v>
      </c>
      <c r="C26" s="241"/>
      <c r="D26" s="365">
        <f>Inputs!D83</f>
        <v>30</v>
      </c>
      <c r="E26" s="396" t="str">
        <f>Inputs!E83</f>
        <v>per animal</v>
      </c>
      <c r="F26" s="124">
        <f>Inputs!U83</f>
        <v>0</v>
      </c>
      <c r="G26" s="264"/>
      <c r="H26" s="454">
        <f t="shared" si="14"/>
        <v>0</v>
      </c>
      <c r="J26" s="416"/>
      <c r="K26" s="416"/>
      <c r="L26" s="416"/>
      <c r="M26" s="416"/>
      <c r="N26" s="416"/>
      <c r="O26" s="416"/>
      <c r="P26" s="416"/>
      <c r="Q26" s="416"/>
      <c r="R26" s="416"/>
      <c r="S26" s="416"/>
      <c r="T26" s="416"/>
      <c r="U26" s="416"/>
      <c r="V26" s="416"/>
      <c r="W26" s="416"/>
      <c r="Y26" s="221"/>
      <c r="Z26" s="221"/>
      <c r="AA26" s="221"/>
    </row>
    <row r="27" spans="1:27">
      <c r="B27" s="249" t="str">
        <f>Inputs!B84</f>
        <v>Cull Cow Marketing</v>
      </c>
      <c r="C27" s="274"/>
      <c r="D27" s="365">
        <f>Inputs!X84</f>
        <v>30</v>
      </c>
      <c r="E27" s="396" t="s">
        <v>60</v>
      </c>
      <c r="F27" s="124"/>
      <c r="G27" s="264"/>
      <c r="H27" s="454">
        <f>C4*D27</f>
        <v>0</v>
      </c>
      <c r="J27" s="416"/>
      <c r="K27" s="416"/>
      <c r="L27" s="416"/>
      <c r="M27" s="416"/>
      <c r="N27" s="416"/>
      <c r="O27" s="416"/>
      <c r="P27" s="416"/>
      <c r="Q27" s="416"/>
      <c r="R27" s="416"/>
      <c r="S27" s="416"/>
      <c r="T27" s="416"/>
      <c r="U27" s="416"/>
      <c r="V27" s="416"/>
      <c r="W27" s="416"/>
      <c r="Y27" s="221"/>
      <c r="Z27" s="221"/>
      <c r="AA27" s="221"/>
    </row>
    <row r="28" spans="1:27">
      <c r="B28" s="283">
        <f>Inputs!B91</f>
        <v>0</v>
      </c>
      <c r="C28" s="251"/>
      <c r="D28" s="365">
        <f>Inputs!D91</f>
        <v>0</v>
      </c>
      <c r="E28" s="396">
        <f>Inputs!E91</f>
        <v>0</v>
      </c>
      <c r="F28" s="124">
        <f>Inputs!U91</f>
        <v>0</v>
      </c>
      <c r="G28" s="264"/>
      <c r="H28" s="454">
        <f t="shared" si="14"/>
        <v>0</v>
      </c>
      <c r="J28" s="416"/>
      <c r="K28" s="416"/>
      <c r="L28" s="416"/>
      <c r="M28" s="416"/>
      <c r="N28" s="416"/>
      <c r="O28" s="416"/>
      <c r="P28" s="416"/>
      <c r="Q28" s="416"/>
      <c r="R28" s="416"/>
      <c r="S28" s="416"/>
      <c r="T28" s="416"/>
      <c r="U28" s="416"/>
      <c r="V28" s="416"/>
      <c r="W28" s="416"/>
      <c r="Y28" s="221"/>
      <c r="Z28" s="221"/>
      <c r="AA28" s="221"/>
    </row>
    <row r="29" spans="1:27">
      <c r="B29" s="283">
        <f>Inputs!B92</f>
        <v>0</v>
      </c>
      <c r="C29" s="251" t="s">
        <v>9</v>
      </c>
      <c r="D29" s="365">
        <f>Inputs!D92</f>
        <v>0</v>
      </c>
      <c r="E29" s="396">
        <f>Inputs!E92</f>
        <v>0</v>
      </c>
      <c r="F29" s="124">
        <f>Inputs!U92</f>
        <v>0</v>
      </c>
      <c r="G29" s="264"/>
      <c r="H29" s="454">
        <f t="shared" si="14"/>
        <v>0</v>
      </c>
      <c r="J29" s="416"/>
      <c r="K29" s="416"/>
      <c r="L29" s="416"/>
      <c r="M29" s="416"/>
      <c r="N29" s="416"/>
      <c r="O29" s="416"/>
      <c r="P29" s="416"/>
      <c r="Q29" s="416"/>
      <c r="R29" s="416"/>
      <c r="S29" s="416"/>
      <c r="T29" s="416"/>
      <c r="U29" s="416"/>
      <c r="V29" s="416"/>
      <c r="W29" s="416"/>
      <c r="Y29" s="221"/>
      <c r="Z29" s="221"/>
      <c r="AA29" s="221"/>
    </row>
    <row r="30" spans="1:27">
      <c r="B30" s="283">
        <f>Inputs!B93</f>
        <v>0</v>
      </c>
      <c r="C30" s="251" t="s">
        <v>9</v>
      </c>
      <c r="D30" s="365">
        <f>Inputs!D93</f>
        <v>0</v>
      </c>
      <c r="E30" s="396">
        <f>Inputs!E93</f>
        <v>0</v>
      </c>
      <c r="F30" s="124">
        <f>Inputs!U93</f>
        <v>0</v>
      </c>
      <c r="G30" s="264"/>
      <c r="H30" s="454">
        <f t="shared" si="14"/>
        <v>0</v>
      </c>
      <c r="J30" s="416"/>
      <c r="K30" s="416"/>
      <c r="L30" s="416"/>
      <c r="M30" s="416"/>
      <c r="N30" s="416"/>
      <c r="O30" s="416"/>
      <c r="P30" s="416"/>
      <c r="Q30" s="416"/>
      <c r="R30" s="416"/>
      <c r="S30" s="416"/>
      <c r="T30" s="416"/>
      <c r="U30" s="416"/>
      <c r="V30" s="416"/>
      <c r="W30" s="416"/>
      <c r="Y30" s="221"/>
      <c r="Z30" s="221"/>
      <c r="AA30" s="221"/>
    </row>
    <row r="31" spans="1:27">
      <c r="B31" s="283">
        <f>Inputs!B94</f>
        <v>0</v>
      </c>
      <c r="C31" s="251"/>
      <c r="D31" s="365">
        <f>Inputs!D94</f>
        <v>0</v>
      </c>
      <c r="E31" s="396">
        <f>Inputs!E94</f>
        <v>0</v>
      </c>
      <c r="F31" s="124">
        <f>Inputs!U94</f>
        <v>0</v>
      </c>
      <c r="G31" s="264"/>
      <c r="H31" s="454">
        <f t="shared" si="14"/>
        <v>0</v>
      </c>
      <c r="J31" s="416"/>
      <c r="K31" s="416"/>
      <c r="L31" s="416"/>
      <c r="M31" s="416"/>
      <c r="N31" s="416"/>
      <c r="O31" s="416"/>
      <c r="P31" s="416"/>
      <c r="Q31" s="416"/>
      <c r="R31" s="416"/>
      <c r="S31" s="416"/>
      <c r="T31" s="416"/>
      <c r="U31" s="416"/>
      <c r="V31" s="416"/>
      <c r="W31" s="416"/>
      <c r="Y31" s="221"/>
      <c r="Z31" s="221"/>
      <c r="AA31" s="221"/>
    </row>
    <row r="32" spans="1:27">
      <c r="B32" s="283">
        <f>Inputs!B95</f>
        <v>0</v>
      </c>
      <c r="C32" s="251" t="s">
        <v>9</v>
      </c>
      <c r="D32" s="365">
        <f>Inputs!D95</f>
        <v>0</v>
      </c>
      <c r="E32" s="396">
        <f>Inputs!E95</f>
        <v>0</v>
      </c>
      <c r="F32" s="124">
        <f>Inputs!U95</f>
        <v>0</v>
      </c>
      <c r="G32" s="264"/>
      <c r="H32" s="454">
        <f t="shared" si="14"/>
        <v>0</v>
      </c>
      <c r="J32" s="416"/>
      <c r="K32" s="416"/>
      <c r="L32" s="416"/>
      <c r="M32" s="416"/>
      <c r="N32" s="416"/>
      <c r="O32" s="416"/>
      <c r="P32" s="416"/>
      <c r="Q32" s="416"/>
      <c r="R32" s="416"/>
      <c r="S32" s="416"/>
      <c r="T32" s="416"/>
      <c r="U32" s="416"/>
      <c r="V32" s="416"/>
      <c r="W32" s="416"/>
      <c r="Y32" s="221"/>
      <c r="Z32" s="221"/>
      <c r="AA32" s="221"/>
    </row>
    <row r="33" spans="2:27" ht="13.5" thickBot="1">
      <c r="B33" s="172" t="s">
        <v>36</v>
      </c>
      <c r="C33" s="834" t="s">
        <v>117</v>
      </c>
      <c r="D33" s="835"/>
      <c r="E33" s="835"/>
      <c r="F33" s="835"/>
      <c r="G33" s="836"/>
      <c r="H33" s="455">
        <f>(SUM(H21,H24:H26,H28:H32,D39:D47)/2+H12)*Inputs!E111*E1/365</f>
        <v>0</v>
      </c>
      <c r="J33" s="416"/>
      <c r="K33" s="416"/>
      <c r="L33" s="416"/>
      <c r="M33" s="416"/>
      <c r="N33" s="416"/>
      <c r="O33" s="416"/>
      <c r="P33" s="416"/>
      <c r="Q33" s="416"/>
      <c r="R33" s="416"/>
      <c r="S33" s="416"/>
      <c r="T33" s="416"/>
      <c r="U33" s="416"/>
      <c r="V33" s="416"/>
      <c r="W33" s="416"/>
      <c r="Y33" s="221"/>
      <c r="Z33" s="221"/>
      <c r="AA33" s="221"/>
    </row>
    <row r="34" spans="2:27" ht="27" customHeight="1" thickTop="1" thickBot="1">
      <c r="B34" s="252"/>
      <c r="C34" s="243"/>
      <c r="D34" s="258"/>
      <c r="E34" s="258"/>
      <c r="F34" s="281"/>
      <c r="G34" s="258" t="s">
        <v>144</v>
      </c>
      <c r="H34" s="639">
        <f>SUM(H24:H33)</f>
        <v>0</v>
      </c>
      <c r="J34" s="416"/>
      <c r="K34" s="416"/>
      <c r="L34" s="416"/>
      <c r="M34" s="416"/>
      <c r="N34" s="416"/>
      <c r="O34" s="416"/>
      <c r="P34" s="416"/>
      <c r="Q34" s="416"/>
      <c r="R34" s="416"/>
      <c r="S34" s="416"/>
      <c r="T34" s="416"/>
      <c r="U34" s="416"/>
      <c r="V34" s="416"/>
      <c r="W34" s="416"/>
      <c r="Y34" s="221"/>
      <c r="Z34" s="221"/>
      <c r="AA34" s="221"/>
    </row>
    <row r="35" spans="2:27" ht="13.5" thickBot="1">
      <c r="B35" s="123"/>
      <c r="C35" s="96"/>
      <c r="D35" s="42"/>
      <c r="E35" s="42"/>
      <c r="F35" s="42"/>
      <c r="G35" s="21" t="s">
        <v>103</v>
      </c>
      <c r="H35" s="640">
        <f>H12+H21+H34</f>
        <v>0</v>
      </c>
      <c r="J35" s="416"/>
      <c r="K35" s="416"/>
      <c r="L35" s="416"/>
      <c r="M35" s="416"/>
      <c r="N35" s="416"/>
      <c r="O35" s="416"/>
      <c r="P35" s="416"/>
      <c r="Q35" s="416"/>
      <c r="R35" s="416"/>
      <c r="S35" s="416"/>
      <c r="T35" s="416"/>
      <c r="U35" s="416"/>
      <c r="V35" s="416"/>
      <c r="W35" s="416"/>
      <c r="Y35" s="221"/>
      <c r="Z35" s="221"/>
      <c r="AA35" s="221"/>
    </row>
    <row r="36" spans="2:27" ht="13.5" thickBot="1">
      <c r="B36" s="250"/>
      <c r="C36" s="250"/>
      <c r="D36" s="250"/>
      <c r="E36" s="250"/>
      <c r="F36" s="257"/>
      <c r="G36" s="257"/>
      <c r="H36" s="602"/>
      <c r="Y36" s="221"/>
      <c r="Z36" s="221"/>
      <c r="AA36" s="221"/>
    </row>
    <row r="37" spans="2:27" ht="16.5" thickBot="1">
      <c r="B37" s="41" t="s">
        <v>108</v>
      </c>
      <c r="C37" s="108"/>
      <c r="D37" s="109"/>
      <c r="E37" s="109"/>
      <c r="F37" s="109"/>
      <c r="G37" s="109"/>
      <c r="H37" s="631" t="s">
        <v>73</v>
      </c>
      <c r="Y37" s="221"/>
      <c r="Z37" s="221"/>
      <c r="AA37" s="221"/>
    </row>
    <row r="38" spans="2:27">
      <c r="B38" s="262" t="s">
        <v>38</v>
      </c>
      <c r="C38" s="242"/>
      <c r="D38" s="392" t="s">
        <v>14</v>
      </c>
      <c r="E38" s="392"/>
      <c r="F38" s="392" t="s">
        <v>47</v>
      </c>
      <c r="G38" s="265"/>
      <c r="H38" s="641" t="s">
        <v>30</v>
      </c>
      <c r="Y38" s="221"/>
      <c r="Z38" s="221"/>
      <c r="AA38" s="221"/>
    </row>
    <row r="39" spans="2:27">
      <c r="B39" s="249" t="str">
        <f>Inputs!B100</f>
        <v>Machinery (Livestock)</v>
      </c>
      <c r="C39" s="242"/>
      <c r="D39" s="365">
        <f>Inputs!G100</f>
        <v>2000</v>
      </c>
      <c r="E39" s="255"/>
      <c r="F39" s="263">
        <f>IF(D39=0,0,Inputs!U100)</f>
        <v>0</v>
      </c>
      <c r="G39" s="271"/>
      <c r="H39" s="451">
        <f>IF(B39="","",D39*F39)</f>
        <v>0</v>
      </c>
      <c r="Y39" s="221"/>
      <c r="Z39" s="221"/>
      <c r="AA39" s="221"/>
    </row>
    <row r="40" spans="2:27">
      <c r="B40" s="249" t="str">
        <f>Inputs!B101</f>
        <v>Vehicles</v>
      </c>
      <c r="C40" s="242"/>
      <c r="D40" s="365">
        <f>Inputs!G101</f>
        <v>1000</v>
      </c>
      <c r="E40" s="255"/>
      <c r="F40" s="263">
        <f>IF(D40=0,0,Inputs!U101)</f>
        <v>0</v>
      </c>
      <c r="G40" s="271"/>
      <c r="H40" s="451">
        <f t="shared" ref="H40:H47" si="15">IF(B40="","",D40*F40)</f>
        <v>0</v>
      </c>
      <c r="Y40" s="221"/>
      <c r="Z40" s="221"/>
      <c r="AA40" s="221"/>
    </row>
    <row r="41" spans="2:27">
      <c r="B41" s="283" t="str">
        <f>Inputs!B102</f>
        <v>Barn</v>
      </c>
      <c r="C41" s="250"/>
      <c r="D41" s="365">
        <f>Inputs!G102</f>
        <v>500</v>
      </c>
      <c r="E41" s="255"/>
      <c r="F41" s="263">
        <f>IF(D41=0,0,Inputs!U102)</f>
        <v>0</v>
      </c>
      <c r="G41" s="271"/>
      <c r="H41" s="451">
        <f t="shared" si="15"/>
        <v>0</v>
      </c>
      <c r="Y41" s="221"/>
      <c r="Z41" s="221"/>
      <c r="AA41" s="221"/>
    </row>
    <row r="42" spans="2:27">
      <c r="B42" s="283">
        <f>Inputs!B103</f>
        <v>0</v>
      </c>
      <c r="C42" s="250"/>
      <c r="D42" s="365">
        <f>Inputs!G103</f>
        <v>0</v>
      </c>
      <c r="E42" s="255"/>
      <c r="F42" s="263">
        <f>IF(D42=0,0,Inputs!U103)</f>
        <v>0</v>
      </c>
      <c r="G42" s="271"/>
      <c r="H42" s="451">
        <f t="shared" si="15"/>
        <v>0</v>
      </c>
      <c r="Y42" s="221"/>
      <c r="Z42" s="221"/>
      <c r="AA42" s="221"/>
    </row>
    <row r="43" spans="2:27">
      <c r="B43" s="283">
        <f>Inputs!B104</f>
        <v>0</v>
      </c>
      <c r="C43" s="250"/>
      <c r="D43" s="365">
        <f>Inputs!G104</f>
        <v>0</v>
      </c>
      <c r="E43" s="255"/>
      <c r="F43" s="263">
        <f>IF(D43=0,0,Inputs!U104)</f>
        <v>0</v>
      </c>
      <c r="G43" s="271"/>
      <c r="H43" s="451">
        <f t="shared" si="15"/>
        <v>0</v>
      </c>
      <c r="Y43" s="221"/>
      <c r="Z43" s="221"/>
      <c r="AA43" s="221"/>
    </row>
    <row r="44" spans="2:27">
      <c r="B44" s="283">
        <f>Inputs!B105</f>
        <v>0</v>
      </c>
      <c r="C44" s="250"/>
      <c r="D44" s="365">
        <f>Inputs!G105</f>
        <v>0</v>
      </c>
      <c r="E44" s="255"/>
      <c r="F44" s="263">
        <f>IF(D44=0,0,Inputs!U105)</f>
        <v>0</v>
      </c>
      <c r="G44" s="271"/>
      <c r="H44" s="451">
        <f t="shared" si="15"/>
        <v>0</v>
      </c>
      <c r="Y44" s="221"/>
      <c r="Z44" s="221"/>
      <c r="AA44" s="221"/>
    </row>
    <row r="45" spans="2:27">
      <c r="B45" s="283">
        <f>Inputs!B106</f>
        <v>0</v>
      </c>
      <c r="C45" s="250"/>
      <c r="D45" s="365">
        <f>Inputs!G106</f>
        <v>0</v>
      </c>
      <c r="E45" s="255"/>
      <c r="F45" s="263">
        <f>IF(D45=0,0,Inputs!U106)</f>
        <v>0</v>
      </c>
      <c r="G45" s="271"/>
      <c r="H45" s="451">
        <f t="shared" si="15"/>
        <v>0</v>
      </c>
      <c r="Y45" s="221"/>
      <c r="Z45" s="221"/>
      <c r="AA45" s="221"/>
    </row>
    <row r="46" spans="2:27">
      <c r="B46" s="283">
        <f>Inputs!B107</f>
        <v>0</v>
      </c>
      <c r="C46" s="250"/>
      <c r="D46" s="365">
        <f>Inputs!G107</f>
        <v>0</v>
      </c>
      <c r="E46" s="255"/>
      <c r="F46" s="263">
        <f>IF(D46=0,0,Inputs!U107)</f>
        <v>0</v>
      </c>
      <c r="G46" s="271"/>
      <c r="H46" s="451">
        <f t="shared" si="15"/>
        <v>0</v>
      </c>
      <c r="Y46" s="221"/>
      <c r="Z46" s="221"/>
      <c r="AA46" s="221"/>
    </row>
    <row r="47" spans="2:27" ht="13.5" thickBot="1">
      <c r="B47" s="283">
        <f>Inputs!B108</f>
        <v>0</v>
      </c>
      <c r="C47" s="250"/>
      <c r="D47" s="365">
        <f>Inputs!G108</f>
        <v>0</v>
      </c>
      <c r="E47" s="255"/>
      <c r="F47" s="263">
        <f>IF(D47=0,0,Inputs!U108)</f>
        <v>0</v>
      </c>
      <c r="G47" s="271"/>
      <c r="H47" s="452">
        <f t="shared" si="15"/>
        <v>0</v>
      </c>
      <c r="Y47" s="221"/>
      <c r="Z47" s="221"/>
      <c r="AA47" s="221"/>
    </row>
    <row r="48" spans="2:27" ht="13.5" thickTop="1">
      <c r="B48" s="249"/>
      <c r="C48" s="242"/>
      <c r="D48" s="259"/>
      <c r="E48" s="92"/>
      <c r="F48" s="92"/>
      <c r="G48" s="126" t="s">
        <v>111</v>
      </c>
      <c r="H48" s="642">
        <f>SUM(H39:H47)</f>
        <v>0</v>
      </c>
      <c r="Y48" s="221"/>
      <c r="Z48" s="221"/>
      <c r="AA48" s="221"/>
    </row>
    <row r="49" spans="1:36">
      <c r="B49" s="249"/>
      <c r="C49" s="242"/>
      <c r="D49" s="250"/>
      <c r="E49" s="250"/>
      <c r="F49" s="250"/>
      <c r="G49" s="250"/>
      <c r="H49" s="453"/>
      <c r="Y49" s="221"/>
      <c r="Z49" s="221"/>
      <c r="AA49" s="221"/>
    </row>
    <row r="50" spans="1:36">
      <c r="B50" s="262" t="s">
        <v>53</v>
      </c>
      <c r="C50" s="242"/>
      <c r="D50" s="392" t="s">
        <v>55</v>
      </c>
      <c r="E50" s="250"/>
      <c r="F50" s="392" t="s">
        <v>47</v>
      </c>
      <c r="G50" s="264"/>
      <c r="H50" s="638" t="s">
        <v>30</v>
      </c>
      <c r="Y50" s="221"/>
      <c r="Z50" s="221"/>
      <c r="AA50" s="221"/>
    </row>
    <row r="51" spans="1:36">
      <c r="B51" s="249" t="str">
        <f>Inputs!B117</f>
        <v>Real Estate Tax</v>
      </c>
      <c r="C51" s="242"/>
      <c r="D51" s="365">
        <f>Inputs!E117</f>
        <v>0</v>
      </c>
      <c r="E51" s="250"/>
      <c r="F51" s="278">
        <f>IF(D51=0,0,Inputs!U117)</f>
        <v>0</v>
      </c>
      <c r="G51" s="264"/>
      <c r="H51" s="453">
        <f>F51*Inputs!E117</f>
        <v>0</v>
      </c>
      <c r="Y51" s="221"/>
      <c r="Z51" s="221"/>
      <c r="AA51" s="221"/>
    </row>
    <row r="52" spans="1:36">
      <c r="B52" s="249" t="str">
        <f>Inputs!B118</f>
        <v>Annual Insurance Premium</v>
      </c>
      <c r="C52" s="242"/>
      <c r="D52" s="365">
        <f>Inputs!E118</f>
        <v>1500</v>
      </c>
      <c r="E52" s="250"/>
      <c r="F52" s="278">
        <f>IF(D52=0,0,Inputs!U118)</f>
        <v>0</v>
      </c>
      <c r="G52" s="264"/>
      <c r="H52" s="453">
        <f>F52*Inputs!E118</f>
        <v>0</v>
      </c>
      <c r="Y52" s="221"/>
      <c r="Z52" s="221"/>
      <c r="AA52" s="221"/>
    </row>
    <row r="53" spans="1:36">
      <c r="B53" s="249" t="str">
        <f>Inputs!B119</f>
        <v>Professional Fees</v>
      </c>
      <c r="C53" s="242"/>
      <c r="D53" s="365">
        <f>Inputs!E119</f>
        <v>750</v>
      </c>
      <c r="E53" s="250"/>
      <c r="F53" s="278">
        <f>IF(D53=0,0,Inputs!U119)</f>
        <v>0</v>
      </c>
      <c r="G53" s="264"/>
      <c r="H53" s="453">
        <f>F53*Inputs!E119</f>
        <v>0</v>
      </c>
      <c r="Y53" s="221"/>
      <c r="Z53" s="221"/>
      <c r="AA53" s="221"/>
    </row>
    <row r="54" spans="1:36">
      <c r="B54" s="249" t="str">
        <f>Inputs!B120</f>
        <v>Annual Management Charge</v>
      </c>
      <c r="C54" s="242"/>
      <c r="D54" s="365">
        <f>Inputs!E120</f>
        <v>0</v>
      </c>
      <c r="E54" s="250"/>
      <c r="F54" s="278">
        <f>IF(D54=0,0,Inputs!U120)</f>
        <v>0</v>
      </c>
      <c r="G54" s="264"/>
      <c r="H54" s="453">
        <f>F54*Inputs!E120</f>
        <v>0</v>
      </c>
      <c r="Y54" s="221"/>
      <c r="Z54" s="221"/>
      <c r="AA54" s="221"/>
    </row>
    <row r="55" spans="1:36" ht="13.5" thickBot="1">
      <c r="B55" s="249" t="str">
        <f>Inputs!B121</f>
        <v>Other</v>
      </c>
      <c r="C55" s="242"/>
      <c r="D55" s="365">
        <f>Inputs!E121</f>
        <v>0</v>
      </c>
      <c r="E55" s="250"/>
      <c r="F55" s="278">
        <f>IF(D55=0,0,Inputs!U121)</f>
        <v>0</v>
      </c>
      <c r="G55" s="264"/>
      <c r="H55" s="456">
        <f>F55*Inputs!E121</f>
        <v>0</v>
      </c>
      <c r="Y55" s="221"/>
      <c r="Z55" s="221"/>
      <c r="AA55" s="221"/>
    </row>
    <row r="56" spans="1:36" ht="14.25" thickTop="1" thickBot="1">
      <c r="B56" s="252"/>
      <c r="C56" s="243"/>
      <c r="D56" s="253"/>
      <c r="E56" s="253"/>
      <c r="F56" s="259"/>
      <c r="G56" s="258" t="s">
        <v>42</v>
      </c>
      <c r="H56" s="643">
        <f>SUM(H51:H55)</f>
        <v>0</v>
      </c>
      <c r="J56" s="223"/>
      <c r="K56" s="223"/>
      <c r="Y56" s="221"/>
      <c r="Z56" s="221"/>
      <c r="AA56" s="221"/>
    </row>
    <row r="57" spans="1:36" ht="13.5" thickBot="1">
      <c r="B57" s="99">
        <v>217480.06701030929</v>
      </c>
      <c r="C57" s="96"/>
      <c r="D57" s="42"/>
      <c r="E57" s="42"/>
      <c r="F57" s="42"/>
      <c r="G57" s="21" t="s">
        <v>102</v>
      </c>
      <c r="H57" s="640">
        <f>H48+H56</f>
        <v>0</v>
      </c>
      <c r="I57" s="160"/>
      <c r="Y57" s="221"/>
      <c r="Z57" s="221"/>
      <c r="AA57" s="221"/>
    </row>
    <row r="58" spans="1:36" ht="13.5" thickBot="1">
      <c r="B58" s="43"/>
      <c r="C58" s="43"/>
      <c r="D58" s="43"/>
      <c r="E58" s="43"/>
      <c r="F58" s="43"/>
      <c r="G58" s="43"/>
      <c r="H58" s="446"/>
      <c r="Y58" s="221"/>
      <c r="Z58" s="221"/>
      <c r="AA58" s="221"/>
    </row>
    <row r="59" spans="1:36" ht="13.5" thickBot="1">
      <c r="B59" s="98"/>
      <c r="C59" s="96"/>
      <c r="D59" s="67"/>
      <c r="E59" s="67"/>
      <c r="F59" s="67"/>
      <c r="G59" s="21" t="s">
        <v>110</v>
      </c>
      <c r="H59" s="601">
        <f>H35+H57</f>
        <v>0</v>
      </c>
      <c r="Y59" s="221"/>
      <c r="Z59" s="221"/>
      <c r="AA59" s="221"/>
    </row>
    <row r="60" spans="1:36" ht="13.5" thickBot="1">
      <c r="B60" s="104"/>
      <c r="C60" s="104"/>
      <c r="D60" s="104"/>
      <c r="E60" s="104"/>
      <c r="F60" s="104"/>
      <c r="G60" s="104"/>
      <c r="H60" s="605"/>
      <c r="Y60" s="221"/>
      <c r="Z60" s="221"/>
      <c r="AA60" s="221"/>
    </row>
    <row r="61" spans="1:36" ht="13.5" thickBot="1">
      <c r="B61" s="98"/>
      <c r="C61" s="96"/>
      <c r="D61" s="67"/>
      <c r="E61" s="67"/>
      <c r="F61" s="67"/>
      <c r="G61" s="21" t="s">
        <v>104</v>
      </c>
      <c r="H61" s="601">
        <f>H6-H59</f>
        <v>0</v>
      </c>
      <c r="Y61" s="221"/>
      <c r="Z61" s="221"/>
      <c r="AA61" s="221"/>
    </row>
    <row r="62" spans="1:36" ht="13.5" thickBot="1">
      <c r="B62" s="250"/>
      <c r="C62" s="250"/>
      <c r="D62" s="250"/>
      <c r="E62" s="250"/>
      <c r="F62" s="43"/>
      <c r="G62" s="43"/>
      <c r="H62" s="591"/>
      <c r="Y62" s="221"/>
      <c r="Z62" s="221"/>
      <c r="AA62" s="221"/>
    </row>
    <row r="63" spans="1:36" s="216" customFormat="1" ht="16.5" thickBot="1">
      <c r="A63" s="155"/>
      <c r="B63" s="41" t="s">
        <v>97</v>
      </c>
      <c r="C63" s="108"/>
      <c r="D63" s="109"/>
      <c r="E63" s="109"/>
      <c r="F63" s="109"/>
      <c r="G63" s="109"/>
      <c r="H63" s="631" t="s">
        <v>73</v>
      </c>
      <c r="I63" s="222"/>
      <c r="J63" s="222"/>
      <c r="K63" s="222"/>
      <c r="L63" s="222"/>
      <c r="M63" s="222"/>
      <c r="N63" s="222"/>
      <c r="O63" s="222"/>
      <c r="P63" s="222"/>
      <c r="Q63" s="222"/>
      <c r="R63" s="222"/>
      <c r="S63" s="222"/>
      <c r="T63" s="222"/>
      <c r="U63" s="222"/>
      <c r="V63" s="222"/>
      <c r="W63" s="222"/>
      <c r="X63" s="222"/>
      <c r="Y63" s="221"/>
      <c r="Z63" s="221"/>
      <c r="AA63" s="221"/>
      <c r="AB63" s="276"/>
      <c r="AC63" s="276"/>
      <c r="AD63" s="276"/>
      <c r="AE63" s="276"/>
      <c r="AF63" s="276"/>
      <c r="AG63" s="276"/>
      <c r="AH63" s="276"/>
      <c r="AI63" s="276"/>
      <c r="AJ63" s="276"/>
    </row>
    <row r="64" spans="1:36" s="216" customFormat="1" ht="25.5">
      <c r="A64" s="276"/>
      <c r="B64" s="262" t="s">
        <v>113</v>
      </c>
      <c r="C64" s="242"/>
      <c r="D64" s="392" t="s">
        <v>45</v>
      </c>
      <c r="E64" s="393" t="s">
        <v>54</v>
      </c>
      <c r="F64" s="392" t="s">
        <v>47</v>
      </c>
      <c r="G64" s="392"/>
      <c r="H64" s="638" t="s">
        <v>30</v>
      </c>
      <c r="I64" s="222"/>
      <c r="J64" s="222"/>
      <c r="K64" s="222"/>
      <c r="L64" s="222"/>
      <c r="M64" s="222"/>
      <c r="N64" s="222"/>
      <c r="O64" s="222"/>
      <c r="P64" s="222"/>
      <c r="Q64" s="222"/>
      <c r="R64" s="222"/>
      <c r="S64" s="222"/>
      <c r="T64" s="222"/>
      <c r="U64" s="222"/>
      <c r="V64" s="222"/>
      <c r="W64" s="222"/>
      <c r="X64" s="222"/>
      <c r="Y64" s="221"/>
      <c r="Z64" s="221"/>
      <c r="AA64" s="221"/>
      <c r="AB64" s="276"/>
      <c r="AC64" s="276"/>
      <c r="AD64" s="276"/>
      <c r="AE64" s="276"/>
      <c r="AF64" s="276"/>
      <c r="AG64" s="276"/>
      <c r="AH64" s="276"/>
      <c r="AI64" s="276"/>
      <c r="AJ64" s="276"/>
    </row>
    <row r="65" spans="1:36" s="216" customFormat="1">
      <c r="A65" s="276"/>
      <c r="B65" s="249" t="str">
        <f>Inputs!B100</f>
        <v>Machinery (Livestock)</v>
      </c>
      <c r="C65" s="242"/>
      <c r="D65" s="365">
        <f>IF(Inputs!F100=0,0,(Inputs!D100-Inputs!E100)/Inputs!F100)</f>
        <v>7500</v>
      </c>
      <c r="E65" s="364">
        <f>Inputs!D100*Inputs!$E$112</f>
        <v>3000</v>
      </c>
      <c r="F65" s="263">
        <f>IF(SUM(D65:E65)=0,0,Inputs!U100)</f>
        <v>0</v>
      </c>
      <c r="G65" s="255"/>
      <c r="H65" s="451">
        <f>(D65+E65)*F65</f>
        <v>0</v>
      </c>
      <c r="I65" s="222"/>
      <c r="J65" s="222"/>
      <c r="K65" s="222"/>
      <c r="L65" s="222"/>
      <c r="M65" s="222"/>
      <c r="N65" s="222"/>
      <c r="O65" s="222"/>
      <c r="P65" s="222"/>
      <c r="Q65" s="222"/>
      <c r="R65" s="222"/>
      <c r="S65" s="222"/>
      <c r="T65" s="222"/>
      <c r="U65" s="222"/>
      <c r="V65" s="222"/>
      <c r="W65" s="222"/>
      <c r="X65" s="222"/>
      <c r="Y65" s="221"/>
      <c r="Z65" s="221"/>
      <c r="AA65" s="221"/>
      <c r="AB65" s="276"/>
      <c r="AC65" s="276"/>
      <c r="AD65" s="276"/>
      <c r="AE65" s="276"/>
      <c r="AF65" s="276"/>
      <c r="AG65" s="276"/>
      <c r="AH65" s="276"/>
      <c r="AI65" s="276"/>
      <c r="AJ65" s="276"/>
    </row>
    <row r="66" spans="1:36" s="216" customFormat="1">
      <c r="A66" s="276"/>
      <c r="B66" s="249" t="str">
        <f>Inputs!B101</f>
        <v>Vehicles</v>
      </c>
      <c r="C66" s="242"/>
      <c r="D66" s="365">
        <f>IF(Inputs!F101=0,0,(Inputs!D101-Inputs!E101)/Inputs!F101)</f>
        <v>2857.1428571428573</v>
      </c>
      <c r="E66" s="364">
        <f>Inputs!D101*Inputs!$E$112</f>
        <v>900</v>
      </c>
      <c r="F66" s="263">
        <f>IF(SUM(D66:E66)=0,0,Inputs!U101)</f>
        <v>0</v>
      </c>
      <c r="G66" s="255"/>
      <c r="H66" s="451">
        <f t="shared" ref="H66:H72" si="16">(D66+E66)*F66</f>
        <v>0</v>
      </c>
      <c r="I66" s="222"/>
      <c r="J66" s="222"/>
      <c r="K66" s="222"/>
      <c r="L66" s="222"/>
      <c r="M66" s="222"/>
      <c r="N66" s="222"/>
      <c r="O66" s="222"/>
      <c r="P66" s="222"/>
      <c r="Q66" s="222"/>
      <c r="R66" s="222"/>
      <c r="S66" s="222"/>
      <c r="T66" s="222"/>
      <c r="U66" s="222"/>
      <c r="V66" s="222"/>
      <c r="W66" s="222"/>
      <c r="X66" s="222"/>
      <c r="Y66" s="221"/>
      <c r="Z66" s="221"/>
      <c r="AA66" s="221"/>
      <c r="AB66" s="276"/>
      <c r="AC66" s="276"/>
      <c r="AD66" s="276"/>
      <c r="AE66" s="276"/>
      <c r="AF66" s="276"/>
      <c r="AG66" s="276"/>
      <c r="AH66" s="276"/>
      <c r="AI66" s="276"/>
      <c r="AJ66" s="276"/>
    </row>
    <row r="67" spans="1:36" s="216" customFormat="1">
      <c r="A67" s="276"/>
      <c r="B67" s="283" t="str">
        <f>Inputs!B102</f>
        <v>Barn</v>
      </c>
      <c r="C67" s="250"/>
      <c r="D67" s="365">
        <f>IF(Inputs!F102=0,0,(Inputs!D102-Inputs!E102)/Inputs!F102)</f>
        <v>1000</v>
      </c>
      <c r="E67" s="364">
        <f>Inputs!D102*Inputs!$E$112</f>
        <v>900</v>
      </c>
      <c r="F67" s="263">
        <f>IF(SUM(D67:E67)=0,0,Inputs!U102)</f>
        <v>0</v>
      </c>
      <c r="G67" s="255"/>
      <c r="H67" s="451">
        <f t="shared" si="16"/>
        <v>0</v>
      </c>
      <c r="I67" s="222"/>
      <c r="J67" s="222"/>
      <c r="K67" s="222"/>
      <c r="L67" s="222"/>
      <c r="M67" s="222"/>
      <c r="N67" s="222"/>
      <c r="O67" s="222"/>
      <c r="P67" s="222"/>
      <c r="Q67" s="222"/>
      <c r="R67" s="222"/>
      <c r="S67" s="222"/>
      <c r="T67" s="222"/>
      <c r="U67" s="222"/>
      <c r="V67" s="222"/>
      <c r="W67" s="222"/>
      <c r="X67" s="222"/>
      <c r="Y67" s="221"/>
      <c r="Z67" s="221"/>
      <c r="AA67" s="221"/>
      <c r="AB67" s="276"/>
      <c r="AC67" s="276"/>
      <c r="AD67" s="276"/>
      <c r="AE67" s="276"/>
      <c r="AF67" s="276"/>
      <c r="AG67" s="276"/>
      <c r="AH67" s="276"/>
      <c r="AI67" s="276"/>
      <c r="AJ67" s="276"/>
    </row>
    <row r="68" spans="1:36" s="216" customFormat="1">
      <c r="A68" s="276"/>
      <c r="B68" s="283">
        <f>Inputs!B103</f>
        <v>0</v>
      </c>
      <c r="C68" s="250"/>
      <c r="D68" s="365">
        <f>IF(Inputs!F103=0,0,(Inputs!D103-Inputs!E103)/Inputs!F103)</f>
        <v>0</v>
      </c>
      <c r="E68" s="364">
        <f>Inputs!D103*Inputs!$E$112</f>
        <v>0</v>
      </c>
      <c r="F68" s="263">
        <f>IF(SUM(D68:E68)=0,0,Inputs!U103)</f>
        <v>0</v>
      </c>
      <c r="G68" s="255"/>
      <c r="H68" s="451">
        <f t="shared" si="16"/>
        <v>0</v>
      </c>
      <c r="I68" s="222"/>
      <c r="J68" s="222"/>
      <c r="K68" s="222"/>
      <c r="L68" s="222"/>
      <c r="M68" s="222"/>
      <c r="N68" s="222"/>
      <c r="O68" s="222"/>
      <c r="P68" s="222"/>
      <c r="Q68" s="222"/>
      <c r="R68" s="222"/>
      <c r="S68" s="222"/>
      <c r="T68" s="222"/>
      <c r="U68" s="222"/>
      <c r="V68" s="222"/>
      <c r="W68" s="222"/>
      <c r="X68" s="222"/>
      <c r="Y68" s="221"/>
      <c r="Z68" s="221"/>
      <c r="AA68" s="221"/>
      <c r="AB68" s="276"/>
      <c r="AC68" s="276"/>
      <c r="AD68" s="276"/>
      <c r="AE68" s="276"/>
      <c r="AF68" s="276"/>
      <c r="AG68" s="276"/>
      <c r="AH68" s="276"/>
      <c r="AI68" s="276"/>
      <c r="AJ68" s="276"/>
    </row>
    <row r="69" spans="1:36" s="216" customFormat="1">
      <c r="A69" s="276"/>
      <c r="B69" s="283">
        <f>Inputs!B104</f>
        <v>0</v>
      </c>
      <c r="C69" s="250"/>
      <c r="D69" s="365">
        <f>IF(Inputs!F104=0,0,(Inputs!D104-Inputs!E104)/Inputs!F104)</f>
        <v>0</v>
      </c>
      <c r="E69" s="364">
        <f>Inputs!D104*Inputs!$E$112</f>
        <v>0</v>
      </c>
      <c r="F69" s="263">
        <f>IF(SUM(D69:E69)=0,0,Inputs!U104)</f>
        <v>0</v>
      </c>
      <c r="G69" s="255"/>
      <c r="H69" s="451"/>
      <c r="I69" s="222"/>
      <c r="J69" s="222"/>
      <c r="K69" s="222"/>
      <c r="L69" s="222"/>
      <c r="M69" s="222"/>
      <c r="N69" s="222"/>
      <c r="O69" s="222"/>
      <c r="P69" s="222"/>
      <c r="Q69" s="222"/>
      <c r="R69" s="222"/>
      <c r="S69" s="222"/>
      <c r="T69" s="222"/>
      <c r="U69" s="222"/>
      <c r="V69" s="222"/>
      <c r="W69" s="222"/>
      <c r="X69" s="222"/>
      <c r="Y69" s="221"/>
      <c r="Z69" s="221"/>
      <c r="AA69" s="221"/>
      <c r="AB69" s="276"/>
      <c r="AC69" s="276"/>
      <c r="AD69" s="276"/>
      <c r="AE69" s="276"/>
      <c r="AF69" s="276"/>
      <c r="AG69" s="276"/>
      <c r="AH69" s="276"/>
      <c r="AI69" s="276"/>
      <c r="AJ69" s="276"/>
    </row>
    <row r="70" spans="1:36" s="216" customFormat="1">
      <c r="A70" s="276"/>
      <c r="B70" s="283">
        <f>Inputs!B105</f>
        <v>0</v>
      </c>
      <c r="C70" s="250"/>
      <c r="D70" s="365">
        <f>IF(Inputs!F105=0,0,(Inputs!D105-Inputs!E105)/Inputs!F105)</f>
        <v>0</v>
      </c>
      <c r="E70" s="364">
        <f>Inputs!D105*Inputs!$E$112</f>
        <v>0</v>
      </c>
      <c r="F70" s="263">
        <f>IF(SUM(D70:E70)=0,0,Inputs!U105)</f>
        <v>0</v>
      </c>
      <c r="G70" s="255"/>
      <c r="H70" s="451"/>
      <c r="I70" s="222"/>
      <c r="J70" s="222"/>
      <c r="K70" s="222"/>
      <c r="L70" s="222"/>
      <c r="M70" s="222"/>
      <c r="N70" s="222"/>
      <c r="O70" s="222"/>
      <c r="P70" s="222"/>
      <c r="Q70" s="222"/>
      <c r="R70" s="222"/>
      <c r="S70" s="222"/>
      <c r="T70" s="222"/>
      <c r="U70" s="222"/>
      <c r="V70" s="222"/>
      <c r="W70" s="222"/>
      <c r="X70" s="222"/>
      <c r="Y70" s="221"/>
      <c r="Z70" s="221"/>
      <c r="AA70" s="221"/>
      <c r="AB70" s="276"/>
      <c r="AC70" s="276"/>
      <c r="AD70" s="276"/>
      <c r="AE70" s="276"/>
      <c r="AF70" s="276"/>
      <c r="AG70" s="276"/>
      <c r="AH70" s="276"/>
      <c r="AI70" s="276"/>
      <c r="AJ70" s="276"/>
    </row>
    <row r="71" spans="1:36" s="216" customFormat="1">
      <c r="A71" s="276"/>
      <c r="B71" s="283">
        <f>Inputs!B106</f>
        <v>0</v>
      </c>
      <c r="C71" s="250"/>
      <c r="D71" s="365">
        <f>IF(Inputs!F106=0,0,(Inputs!D106-Inputs!E106)/Inputs!F106)</f>
        <v>0</v>
      </c>
      <c r="E71" s="364">
        <f>Inputs!D106*Inputs!$E$112</f>
        <v>0</v>
      </c>
      <c r="F71" s="263">
        <f>IF(SUM(D71:E71)=0,0,Inputs!U106)</f>
        <v>0</v>
      </c>
      <c r="G71" s="255"/>
      <c r="H71" s="451">
        <f t="shared" si="16"/>
        <v>0</v>
      </c>
      <c r="I71" s="222"/>
      <c r="J71" s="222"/>
      <c r="K71" s="222"/>
      <c r="L71" s="222"/>
      <c r="M71" s="222"/>
      <c r="N71" s="222"/>
      <c r="O71" s="222"/>
      <c r="P71" s="222"/>
      <c r="Q71" s="222"/>
      <c r="R71" s="222"/>
      <c r="S71" s="222"/>
      <c r="T71" s="222"/>
      <c r="U71" s="222"/>
      <c r="V71" s="222"/>
      <c r="W71" s="222"/>
      <c r="X71" s="222"/>
      <c r="Y71" s="221"/>
      <c r="Z71" s="221"/>
      <c r="AA71" s="221"/>
      <c r="AB71" s="276"/>
      <c r="AC71" s="276"/>
      <c r="AD71" s="276"/>
      <c r="AE71" s="276"/>
      <c r="AF71" s="276"/>
      <c r="AG71" s="276"/>
      <c r="AH71" s="276"/>
      <c r="AI71" s="276"/>
      <c r="AJ71" s="276"/>
    </row>
    <row r="72" spans="1:36" s="216" customFormat="1">
      <c r="A72" s="276"/>
      <c r="B72" s="283">
        <f>Inputs!B107</f>
        <v>0</v>
      </c>
      <c r="C72" s="250"/>
      <c r="D72" s="365">
        <f>IF(Inputs!F107=0,0,(Inputs!D107-Inputs!E107)/Inputs!F107)</f>
        <v>0</v>
      </c>
      <c r="E72" s="364">
        <f>Inputs!D107*Inputs!$E$112</f>
        <v>0</v>
      </c>
      <c r="F72" s="263">
        <f>IF(SUM(D72:E72)=0,0,Inputs!U107)</f>
        <v>0</v>
      </c>
      <c r="G72" s="255"/>
      <c r="H72" s="451">
        <f t="shared" si="16"/>
        <v>0</v>
      </c>
      <c r="I72" s="222"/>
      <c r="J72" s="222"/>
      <c r="K72" s="222"/>
      <c r="L72" s="222"/>
      <c r="M72" s="222"/>
      <c r="N72" s="222"/>
      <c r="O72" s="222"/>
      <c r="P72" s="222"/>
      <c r="Q72" s="222"/>
      <c r="R72" s="222"/>
      <c r="S72" s="222"/>
      <c r="T72" s="222"/>
      <c r="U72" s="222"/>
      <c r="V72" s="222"/>
      <c r="W72" s="222"/>
      <c r="X72" s="222"/>
      <c r="Y72" s="221"/>
      <c r="Z72" s="221"/>
      <c r="AA72" s="221"/>
      <c r="AB72" s="276"/>
      <c r="AC72" s="276"/>
      <c r="AD72" s="276"/>
      <c r="AE72" s="276"/>
      <c r="AF72" s="276"/>
      <c r="AG72" s="276"/>
      <c r="AH72" s="276"/>
      <c r="AI72" s="276"/>
      <c r="AJ72" s="276"/>
    </row>
    <row r="73" spans="1:36" s="216" customFormat="1">
      <c r="A73" s="276"/>
      <c r="B73" s="283">
        <f>Inputs!B108</f>
        <v>0</v>
      </c>
      <c r="C73" s="250"/>
      <c r="D73" s="365">
        <f>IF(Inputs!F108=0,0,(Inputs!D108-Inputs!E108)/Inputs!F108)</f>
        <v>0</v>
      </c>
      <c r="E73" s="364">
        <f>Inputs!D108*Inputs!$E$112</f>
        <v>0</v>
      </c>
      <c r="F73" s="263">
        <f>IF(SUM(D73:E73)=0,0,Inputs!U108)</f>
        <v>0</v>
      </c>
      <c r="G73" s="255"/>
      <c r="H73" s="451"/>
      <c r="I73" s="222"/>
      <c r="J73" s="222"/>
      <c r="K73" s="222"/>
      <c r="L73" s="222"/>
      <c r="M73" s="222"/>
      <c r="N73" s="222"/>
      <c r="O73" s="222"/>
      <c r="P73" s="222"/>
      <c r="Q73" s="222"/>
      <c r="R73" s="222"/>
      <c r="S73" s="222"/>
      <c r="T73" s="222"/>
      <c r="U73" s="222"/>
      <c r="V73" s="222"/>
      <c r="W73" s="222"/>
      <c r="X73" s="222"/>
      <c r="Y73" s="221"/>
      <c r="Z73" s="221"/>
      <c r="AA73" s="221"/>
      <c r="AB73" s="276"/>
      <c r="AC73" s="276"/>
      <c r="AD73" s="276"/>
      <c r="AE73" s="276"/>
      <c r="AF73" s="276"/>
      <c r="AG73" s="276"/>
      <c r="AH73" s="276"/>
      <c r="AI73" s="276"/>
      <c r="AJ73" s="276"/>
    </row>
    <row r="74" spans="1:36" s="216" customFormat="1" ht="13.5" thickBot="1">
      <c r="A74" s="276"/>
      <c r="B74" s="239" t="s">
        <v>99</v>
      </c>
      <c r="C74" s="250"/>
      <c r="D74" s="365"/>
      <c r="E74" s="365">
        <f>Inputs!E116*Inputs!E112</f>
        <v>0</v>
      </c>
      <c r="F74" s="371">
        <f>IF(E74=0,0,Inputs!U116)</f>
        <v>0</v>
      </c>
      <c r="G74" s="255"/>
      <c r="H74" s="451">
        <f>E74*F74</f>
        <v>0</v>
      </c>
      <c r="I74" s="222"/>
      <c r="J74" s="222"/>
      <c r="K74" s="222"/>
      <c r="L74" s="222"/>
      <c r="M74" s="222"/>
      <c r="N74" s="222"/>
      <c r="O74" s="222"/>
      <c r="P74" s="222"/>
      <c r="Q74" s="222"/>
      <c r="R74" s="222"/>
      <c r="S74" s="222"/>
      <c r="T74" s="222"/>
      <c r="U74" s="222"/>
      <c r="V74" s="222"/>
      <c r="W74" s="222"/>
      <c r="X74" s="222"/>
      <c r="Y74" s="221"/>
      <c r="Z74" s="221"/>
      <c r="AA74" s="221"/>
      <c r="AB74" s="276"/>
      <c r="AC74" s="276"/>
      <c r="AD74" s="276"/>
      <c r="AE74" s="276"/>
      <c r="AF74" s="276"/>
      <c r="AG74" s="276"/>
      <c r="AH74" s="276"/>
      <c r="AI74" s="276"/>
      <c r="AJ74" s="276"/>
    </row>
    <row r="75" spans="1:36" s="216" customFormat="1" ht="13.5" thickBot="1">
      <c r="A75" s="276"/>
      <c r="B75" s="99">
        <v>217480.06701030929</v>
      </c>
      <c r="C75" s="96"/>
      <c r="D75" s="42"/>
      <c r="E75" s="42"/>
      <c r="F75" s="42"/>
      <c r="G75" s="21" t="s">
        <v>105</v>
      </c>
      <c r="H75" s="644">
        <f>SUM(H65:H74)</f>
        <v>0</v>
      </c>
      <c r="I75" s="222"/>
      <c r="J75" s="222"/>
      <c r="K75" s="222"/>
      <c r="L75" s="222"/>
      <c r="M75" s="222"/>
      <c r="N75" s="222"/>
      <c r="O75" s="222"/>
      <c r="P75" s="222"/>
      <c r="Q75" s="222"/>
      <c r="R75" s="222"/>
      <c r="S75" s="222"/>
      <c r="T75" s="222"/>
      <c r="U75" s="222"/>
      <c r="V75" s="222"/>
      <c r="W75" s="222"/>
      <c r="X75" s="222"/>
      <c r="Y75" s="221"/>
      <c r="Z75" s="221"/>
      <c r="AA75" s="221"/>
      <c r="AB75" s="276"/>
      <c r="AC75" s="276"/>
      <c r="AD75" s="276"/>
      <c r="AE75" s="276"/>
      <c r="AF75" s="276"/>
      <c r="AG75" s="276"/>
      <c r="AH75" s="276"/>
      <c r="AI75" s="276"/>
      <c r="AJ75" s="276"/>
    </row>
    <row r="76" spans="1:36" s="216" customFormat="1" ht="13.5" thickBot="1">
      <c r="A76" s="276"/>
      <c r="B76" s="43"/>
      <c r="C76" s="43"/>
      <c r="D76" s="43"/>
      <c r="E76" s="43"/>
      <c r="F76" s="43"/>
      <c r="G76" s="43"/>
      <c r="H76" s="591"/>
      <c r="I76" s="222"/>
      <c r="J76" s="222"/>
      <c r="K76" s="222"/>
      <c r="L76" s="222"/>
      <c r="M76" s="222"/>
      <c r="N76" s="222"/>
      <c r="O76" s="222"/>
      <c r="P76" s="222"/>
      <c r="Q76" s="222"/>
      <c r="R76" s="222"/>
      <c r="S76" s="222"/>
      <c r="T76" s="222"/>
      <c r="U76" s="222"/>
      <c r="V76" s="222"/>
      <c r="W76" s="222"/>
      <c r="X76" s="222"/>
      <c r="Y76" s="221"/>
      <c r="Z76" s="221"/>
      <c r="AA76" s="221"/>
      <c r="AB76" s="276"/>
      <c r="AC76" s="276"/>
      <c r="AD76" s="276"/>
      <c r="AE76" s="276"/>
      <c r="AF76" s="276"/>
      <c r="AG76" s="276"/>
      <c r="AH76" s="276"/>
      <c r="AI76" s="276"/>
      <c r="AJ76" s="276"/>
    </row>
    <row r="77" spans="1:36" s="216" customFormat="1" ht="15.75">
      <c r="A77" s="276"/>
      <c r="B77" s="142" t="s">
        <v>107</v>
      </c>
      <c r="C77" s="139"/>
      <c r="D77" s="143"/>
      <c r="E77" s="143"/>
      <c r="F77" s="143"/>
      <c r="G77" s="144"/>
      <c r="H77" s="645" t="s">
        <v>73</v>
      </c>
      <c r="I77" s="222"/>
      <c r="J77" s="222"/>
      <c r="K77" s="222"/>
      <c r="L77" s="222"/>
      <c r="M77" s="222"/>
      <c r="N77" s="222"/>
      <c r="O77" s="222"/>
      <c r="P77" s="222"/>
      <c r="Q77" s="222"/>
      <c r="R77" s="222"/>
      <c r="S77" s="222"/>
      <c r="T77" s="222"/>
      <c r="U77" s="222"/>
      <c r="V77" s="222"/>
      <c r="W77" s="222"/>
      <c r="X77" s="222"/>
      <c r="Y77" s="221"/>
      <c r="Z77" s="221"/>
      <c r="AA77" s="221"/>
      <c r="AB77" s="276"/>
      <c r="AC77" s="276"/>
      <c r="AD77" s="276"/>
      <c r="AE77" s="276"/>
      <c r="AF77" s="276"/>
      <c r="AG77" s="276"/>
      <c r="AH77" s="276"/>
      <c r="AI77" s="276"/>
      <c r="AJ77" s="276"/>
    </row>
    <row r="78" spans="1:36" s="216" customFormat="1" ht="13.5" thickBot="1">
      <c r="A78" s="276"/>
      <c r="B78" s="140"/>
      <c r="C78" s="141"/>
      <c r="D78" s="280"/>
      <c r="E78" s="280"/>
      <c r="F78" s="280"/>
      <c r="G78" s="246" t="s">
        <v>70</v>
      </c>
      <c r="H78" s="644">
        <f>H59+H75</f>
        <v>0</v>
      </c>
      <c r="I78" s="222"/>
      <c r="J78" s="222"/>
      <c r="K78" s="222"/>
      <c r="L78" s="222"/>
      <c r="M78" s="222"/>
      <c r="N78" s="222"/>
      <c r="O78" s="222"/>
      <c r="P78" s="222"/>
      <c r="Q78" s="222"/>
      <c r="R78" s="222"/>
      <c r="S78" s="222"/>
      <c r="T78" s="222"/>
      <c r="U78" s="222"/>
      <c r="V78" s="222"/>
      <c r="W78" s="222"/>
      <c r="X78" s="222"/>
      <c r="Y78" s="221"/>
      <c r="Z78" s="221"/>
      <c r="AA78" s="221"/>
      <c r="AB78" s="276"/>
      <c r="AC78" s="276"/>
      <c r="AD78" s="276"/>
      <c r="AE78" s="276"/>
      <c r="AF78" s="276"/>
      <c r="AG78" s="276"/>
      <c r="AH78" s="276"/>
      <c r="AI78" s="276"/>
      <c r="AJ78" s="276"/>
    </row>
    <row r="79" spans="1:36" s="216" customFormat="1" ht="13.5" thickBot="1">
      <c r="A79" s="276"/>
      <c r="B79" s="138"/>
      <c r="C79" s="105"/>
      <c r="D79" s="105"/>
      <c r="E79" s="105"/>
      <c r="F79" s="105"/>
      <c r="G79" s="105"/>
      <c r="H79" s="609"/>
      <c r="I79" s="222"/>
      <c r="J79" s="222"/>
      <c r="K79" s="222"/>
      <c r="L79" s="222"/>
      <c r="M79" s="222"/>
      <c r="N79" s="222"/>
      <c r="O79" s="222"/>
      <c r="P79" s="222"/>
      <c r="Q79" s="222"/>
      <c r="R79" s="222"/>
      <c r="S79" s="222"/>
      <c r="T79" s="222"/>
      <c r="U79" s="222"/>
      <c r="V79" s="222"/>
      <c r="W79" s="222"/>
      <c r="X79" s="222"/>
      <c r="Y79" s="221"/>
      <c r="Z79" s="221"/>
      <c r="AA79" s="221"/>
      <c r="AB79" s="276"/>
      <c r="AC79" s="276"/>
      <c r="AD79" s="276"/>
      <c r="AE79" s="276"/>
      <c r="AF79" s="276"/>
      <c r="AG79" s="276"/>
      <c r="AH79" s="276"/>
      <c r="AI79" s="276"/>
      <c r="AJ79" s="276"/>
    </row>
    <row r="80" spans="1:36" s="216" customFormat="1" ht="13.5" thickBot="1">
      <c r="A80" s="276"/>
      <c r="B80" s="98"/>
      <c r="C80" s="96"/>
      <c r="D80" s="67"/>
      <c r="E80" s="67"/>
      <c r="F80" s="67"/>
      <c r="G80" s="21" t="s">
        <v>106</v>
      </c>
      <c r="H80" s="601">
        <f>H6-H78</f>
        <v>0</v>
      </c>
      <c r="I80" s="222"/>
      <c r="J80" s="222"/>
      <c r="K80" s="222"/>
      <c r="L80" s="222"/>
      <c r="M80" s="222"/>
      <c r="N80" s="222"/>
      <c r="O80" s="222"/>
      <c r="P80" s="222"/>
      <c r="Q80" s="222"/>
      <c r="R80" s="222"/>
      <c r="S80" s="222"/>
      <c r="T80" s="222"/>
      <c r="U80" s="222"/>
      <c r="V80" s="222"/>
      <c r="W80" s="222"/>
      <c r="X80" s="222"/>
      <c r="Y80" s="221"/>
      <c r="Z80" s="221"/>
      <c r="AA80" s="221"/>
      <c r="AB80" s="276"/>
      <c r="AC80" s="276"/>
      <c r="AD80" s="276"/>
      <c r="AE80" s="276"/>
      <c r="AF80" s="276"/>
      <c r="AG80" s="276"/>
      <c r="AH80" s="276"/>
      <c r="AI80" s="276"/>
      <c r="AJ80" s="276"/>
    </row>
    <row r="81" spans="1:36" s="216" customFormat="1">
      <c r="A81" s="276"/>
      <c r="B81" s="276"/>
      <c r="C81" s="276"/>
      <c r="D81" s="276"/>
      <c r="E81" s="276"/>
      <c r="F81" s="276"/>
      <c r="G81" s="276"/>
      <c r="H81" s="276"/>
      <c r="I81" s="222"/>
      <c r="J81" s="222"/>
      <c r="K81" s="222"/>
      <c r="L81" s="222"/>
      <c r="M81" s="222"/>
      <c r="N81" s="222"/>
      <c r="O81" s="222"/>
      <c r="P81" s="222"/>
      <c r="Q81" s="222"/>
      <c r="R81" s="222"/>
      <c r="S81" s="222"/>
      <c r="T81" s="222"/>
      <c r="U81" s="222"/>
      <c r="V81" s="222"/>
      <c r="W81" s="222"/>
      <c r="X81" s="222"/>
      <c r="Y81" s="221"/>
      <c r="Z81" s="221"/>
      <c r="AA81" s="221"/>
      <c r="AB81" s="276"/>
      <c r="AC81" s="276"/>
      <c r="AD81" s="276"/>
      <c r="AE81" s="276"/>
      <c r="AF81" s="276"/>
      <c r="AG81" s="276"/>
      <c r="AH81" s="276"/>
      <c r="AI81" s="276"/>
      <c r="AJ81" s="276"/>
    </row>
    <row r="82" spans="1:36" s="216" customFormat="1">
      <c r="A82" s="276"/>
      <c r="B82" s="276"/>
      <c r="C82" s="276"/>
      <c r="D82" s="276"/>
      <c r="E82" s="276"/>
      <c r="F82" s="276"/>
      <c r="G82" s="276"/>
      <c r="H82" s="276"/>
      <c r="I82" s="222"/>
      <c r="J82" s="222"/>
      <c r="K82" s="222"/>
      <c r="L82" s="222"/>
      <c r="M82" s="222"/>
      <c r="N82" s="222"/>
      <c r="O82" s="222"/>
      <c r="P82" s="222"/>
      <c r="Q82" s="222"/>
      <c r="R82" s="222"/>
      <c r="S82" s="222"/>
      <c r="T82" s="222"/>
      <c r="U82" s="222"/>
      <c r="V82" s="222"/>
      <c r="W82" s="222"/>
      <c r="X82" s="222"/>
      <c r="Y82" s="221"/>
      <c r="Z82" s="221"/>
      <c r="AA82" s="221"/>
      <c r="AB82" s="276"/>
      <c r="AC82" s="276"/>
      <c r="AD82" s="276"/>
      <c r="AE82" s="276"/>
      <c r="AF82" s="276"/>
      <c r="AG82" s="276"/>
      <c r="AH82" s="276"/>
      <c r="AI82" s="276"/>
      <c r="AJ82" s="276"/>
    </row>
    <row r="83" spans="1:36" s="216" customFormat="1">
      <c r="A83" s="276"/>
      <c r="B83" s="276"/>
      <c r="C83" s="276"/>
      <c r="D83" s="276"/>
      <c r="E83" s="276"/>
      <c r="F83" s="276"/>
      <c r="G83" s="276"/>
      <c r="H83" s="276"/>
      <c r="I83" s="222"/>
      <c r="J83" s="222"/>
      <c r="K83" s="222"/>
      <c r="L83" s="222"/>
      <c r="M83" s="222"/>
      <c r="N83" s="222"/>
      <c r="O83" s="222"/>
      <c r="P83" s="222"/>
      <c r="Q83" s="222"/>
      <c r="R83" s="222"/>
      <c r="S83" s="222"/>
      <c r="T83" s="222"/>
      <c r="U83" s="222"/>
      <c r="V83" s="222"/>
      <c r="W83" s="222"/>
      <c r="X83" s="222"/>
      <c r="Y83" s="221"/>
      <c r="Z83" s="221"/>
      <c r="AA83" s="221"/>
      <c r="AB83" s="276"/>
      <c r="AC83" s="276"/>
      <c r="AD83" s="276"/>
      <c r="AE83" s="276"/>
      <c r="AF83" s="276"/>
      <c r="AG83" s="276"/>
      <c r="AH83" s="276"/>
      <c r="AI83" s="276"/>
      <c r="AJ83" s="276"/>
    </row>
    <row r="84" spans="1:36" s="216" customFormat="1">
      <c r="A84" s="276"/>
      <c r="B84" s="276"/>
      <c r="C84" s="276"/>
      <c r="D84" s="276"/>
      <c r="E84" s="276"/>
      <c r="F84" s="276"/>
      <c r="G84" s="276"/>
      <c r="H84" s="276"/>
      <c r="I84" s="222"/>
      <c r="J84" s="222"/>
      <c r="K84" s="222"/>
      <c r="L84" s="222"/>
      <c r="M84" s="222"/>
      <c r="N84" s="222"/>
      <c r="O84" s="222"/>
      <c r="P84" s="222"/>
      <c r="Q84" s="222"/>
      <c r="R84" s="222"/>
      <c r="S84" s="222"/>
      <c r="T84" s="222"/>
      <c r="U84" s="222"/>
      <c r="V84" s="222"/>
      <c r="W84" s="222"/>
      <c r="X84" s="222"/>
      <c r="Y84" s="221"/>
      <c r="Z84" s="221"/>
      <c r="AA84" s="221"/>
      <c r="AB84" s="276"/>
      <c r="AC84" s="276"/>
      <c r="AD84" s="276"/>
      <c r="AE84" s="276"/>
      <c r="AF84" s="276"/>
      <c r="AG84" s="276"/>
      <c r="AH84" s="276"/>
      <c r="AI84" s="276"/>
      <c r="AJ84" s="276"/>
    </row>
    <row r="85" spans="1:36" s="216" customFormat="1">
      <c r="A85" s="276"/>
      <c r="B85" s="276"/>
      <c r="C85" s="276"/>
      <c r="D85" s="276"/>
      <c r="E85" s="276"/>
      <c r="F85" s="276"/>
      <c r="G85" s="276"/>
      <c r="H85" s="276"/>
      <c r="I85" s="222"/>
      <c r="J85" s="222"/>
      <c r="K85" s="222"/>
      <c r="L85" s="222"/>
      <c r="M85" s="222"/>
      <c r="N85" s="222"/>
      <c r="O85" s="222"/>
      <c r="P85" s="222"/>
      <c r="Q85" s="222"/>
      <c r="R85" s="222"/>
      <c r="S85" s="222"/>
      <c r="T85" s="222"/>
      <c r="U85" s="222"/>
      <c r="V85" s="222"/>
      <c r="W85" s="222"/>
      <c r="X85" s="222"/>
      <c r="Y85" s="221"/>
      <c r="Z85" s="221"/>
      <c r="AA85" s="221"/>
      <c r="AB85" s="276"/>
      <c r="AC85" s="276"/>
      <c r="AD85" s="276"/>
      <c r="AE85" s="276"/>
      <c r="AF85" s="276"/>
      <c r="AG85" s="276"/>
      <c r="AH85" s="276"/>
      <c r="AI85" s="276"/>
      <c r="AJ85" s="276"/>
    </row>
    <row r="86" spans="1:36" s="216" customFormat="1">
      <c r="A86" s="276"/>
      <c r="B86" s="276"/>
      <c r="C86" s="276"/>
      <c r="D86" s="276"/>
      <c r="E86" s="276"/>
      <c r="F86" s="276"/>
      <c r="G86" s="276"/>
      <c r="H86" s="276"/>
      <c r="I86" s="222"/>
      <c r="J86" s="222"/>
      <c r="K86" s="222"/>
      <c r="L86" s="222"/>
      <c r="M86" s="222"/>
      <c r="N86" s="222"/>
      <c r="O86" s="222"/>
      <c r="P86" s="222"/>
      <c r="Q86" s="222"/>
      <c r="R86" s="222"/>
      <c r="S86" s="222"/>
      <c r="T86" s="222"/>
      <c r="U86" s="222"/>
      <c r="V86" s="222"/>
      <c r="W86" s="222"/>
      <c r="X86" s="222"/>
      <c r="Y86" s="221"/>
      <c r="Z86" s="221"/>
      <c r="AA86" s="221"/>
      <c r="AB86" s="276"/>
      <c r="AC86" s="276"/>
      <c r="AD86" s="276"/>
      <c r="AE86" s="276"/>
      <c r="AF86" s="276"/>
      <c r="AG86" s="276"/>
      <c r="AH86" s="276"/>
      <c r="AI86" s="276"/>
      <c r="AJ86" s="276"/>
    </row>
    <row r="87" spans="1:36" s="216" customFormat="1">
      <c r="A87" s="276"/>
      <c r="B87" s="276"/>
      <c r="C87" s="276"/>
      <c r="D87" s="276"/>
      <c r="E87" s="276"/>
      <c r="F87" s="276"/>
      <c r="G87" s="276"/>
      <c r="H87" s="276"/>
      <c r="I87" s="222"/>
      <c r="J87" s="222"/>
      <c r="K87" s="222"/>
      <c r="L87" s="222"/>
      <c r="M87" s="222"/>
      <c r="N87" s="222"/>
      <c r="O87" s="222"/>
      <c r="P87" s="222"/>
      <c r="Q87" s="222"/>
      <c r="R87" s="222"/>
      <c r="S87" s="222"/>
      <c r="T87" s="222"/>
      <c r="U87" s="222"/>
      <c r="V87" s="222"/>
      <c r="W87" s="222"/>
      <c r="X87" s="222"/>
      <c r="Y87" s="221"/>
      <c r="Z87" s="221"/>
      <c r="AA87" s="221"/>
      <c r="AB87" s="276"/>
      <c r="AC87" s="276"/>
      <c r="AD87" s="276"/>
      <c r="AE87" s="276"/>
      <c r="AF87" s="276"/>
      <c r="AG87" s="276"/>
      <c r="AH87" s="276"/>
      <c r="AI87" s="276"/>
      <c r="AJ87" s="276"/>
    </row>
    <row r="88" spans="1:36" s="216" customFormat="1">
      <c r="A88" s="276"/>
      <c r="B88" s="276"/>
      <c r="C88" s="276"/>
      <c r="D88" s="276"/>
      <c r="E88" s="276"/>
      <c r="F88" s="276"/>
      <c r="G88" s="276"/>
      <c r="H88" s="276"/>
      <c r="I88" s="222"/>
      <c r="J88" s="222"/>
      <c r="K88" s="222"/>
      <c r="L88" s="222"/>
      <c r="M88" s="222"/>
      <c r="N88" s="222"/>
      <c r="O88" s="222"/>
      <c r="P88" s="222"/>
      <c r="Q88" s="222"/>
      <c r="R88" s="222"/>
      <c r="S88" s="222"/>
      <c r="T88" s="222"/>
      <c r="U88" s="222"/>
      <c r="V88" s="222"/>
      <c r="W88" s="222"/>
      <c r="X88" s="222"/>
      <c r="Y88" s="221"/>
      <c r="Z88" s="221"/>
      <c r="AA88" s="221"/>
      <c r="AB88" s="276"/>
      <c r="AC88" s="276"/>
      <c r="AD88" s="276"/>
      <c r="AE88" s="276"/>
      <c r="AF88" s="276"/>
      <c r="AG88" s="276"/>
      <c r="AH88" s="276"/>
      <c r="AI88" s="276"/>
      <c r="AJ88" s="276"/>
    </row>
    <row r="89" spans="1:36" s="216" customFormat="1">
      <c r="A89" s="276"/>
      <c r="B89" s="276"/>
      <c r="C89" s="276"/>
      <c r="D89" s="276"/>
      <c r="E89" s="276"/>
      <c r="F89" s="276"/>
      <c r="G89" s="276"/>
      <c r="H89" s="276"/>
      <c r="I89" s="222"/>
      <c r="J89" s="222"/>
      <c r="K89" s="222"/>
      <c r="L89" s="222"/>
      <c r="M89" s="222"/>
      <c r="N89" s="222"/>
      <c r="O89" s="222"/>
      <c r="P89" s="222"/>
      <c r="Q89" s="222"/>
      <c r="R89" s="222"/>
      <c r="S89" s="222"/>
      <c r="T89" s="222"/>
      <c r="U89" s="222"/>
      <c r="V89" s="222"/>
      <c r="W89" s="222"/>
      <c r="X89" s="222"/>
      <c r="Y89" s="221"/>
      <c r="Z89" s="221"/>
      <c r="AA89" s="221"/>
      <c r="AB89" s="276"/>
      <c r="AC89" s="276"/>
      <c r="AD89" s="276"/>
      <c r="AE89" s="276"/>
      <c r="AF89" s="276"/>
      <c r="AG89" s="276"/>
      <c r="AH89" s="276"/>
      <c r="AI89" s="276"/>
      <c r="AJ89" s="276"/>
    </row>
    <row r="90" spans="1:36" s="216" customFormat="1">
      <c r="A90" s="276"/>
      <c r="B90" s="276"/>
      <c r="C90" s="276"/>
      <c r="D90" s="276"/>
      <c r="E90" s="276"/>
      <c r="F90" s="276"/>
      <c r="G90" s="276"/>
      <c r="H90" s="276"/>
      <c r="I90" s="222"/>
      <c r="J90" s="222"/>
      <c r="K90" s="222"/>
      <c r="L90" s="222"/>
      <c r="M90" s="222"/>
      <c r="N90" s="222"/>
      <c r="O90" s="222"/>
      <c r="P90" s="222"/>
      <c r="Q90" s="222"/>
      <c r="R90" s="222"/>
      <c r="S90" s="222"/>
      <c r="T90" s="222"/>
      <c r="U90" s="222"/>
      <c r="V90" s="222"/>
      <c r="W90" s="222"/>
      <c r="X90" s="222"/>
      <c r="Y90" s="221"/>
      <c r="Z90" s="221"/>
      <c r="AA90" s="221"/>
      <c r="AB90" s="276"/>
      <c r="AC90" s="276"/>
      <c r="AD90" s="276"/>
      <c r="AE90" s="276"/>
      <c r="AF90" s="276"/>
      <c r="AG90" s="276"/>
      <c r="AH90" s="276"/>
      <c r="AI90" s="276"/>
      <c r="AJ90" s="276"/>
    </row>
    <row r="91" spans="1:36" s="216" customFormat="1">
      <c r="A91" s="276"/>
      <c r="B91" s="276"/>
      <c r="C91" s="276"/>
      <c r="D91" s="276"/>
      <c r="E91" s="276"/>
      <c r="F91" s="276"/>
      <c r="G91" s="276"/>
      <c r="H91" s="276"/>
      <c r="I91" s="222"/>
      <c r="J91" s="222"/>
      <c r="K91" s="222"/>
      <c r="L91" s="222"/>
      <c r="M91" s="222"/>
      <c r="N91" s="222"/>
      <c r="O91" s="222"/>
      <c r="P91" s="222"/>
      <c r="Q91" s="222"/>
      <c r="R91" s="222"/>
      <c r="S91" s="222"/>
      <c r="T91" s="222"/>
      <c r="U91" s="222"/>
      <c r="V91" s="222"/>
      <c r="W91" s="222"/>
      <c r="X91" s="222"/>
      <c r="Y91" s="221"/>
      <c r="Z91" s="221"/>
      <c r="AA91" s="221"/>
      <c r="AB91" s="276"/>
      <c r="AC91" s="276"/>
      <c r="AD91" s="276"/>
      <c r="AE91" s="276"/>
      <c r="AF91" s="276"/>
      <c r="AG91" s="276"/>
      <c r="AH91" s="276"/>
      <c r="AI91" s="276"/>
      <c r="AJ91" s="276"/>
    </row>
    <row r="92" spans="1:36" s="216" customFormat="1">
      <c r="A92" s="276"/>
      <c r="B92" s="276"/>
      <c r="C92" s="276"/>
      <c r="D92" s="276"/>
      <c r="E92" s="276"/>
      <c r="F92" s="276"/>
      <c r="G92" s="276"/>
      <c r="H92" s="276"/>
      <c r="I92" s="222"/>
      <c r="J92" s="222"/>
      <c r="K92" s="222"/>
      <c r="L92" s="222"/>
      <c r="M92" s="222"/>
      <c r="N92" s="222"/>
      <c r="O92" s="222"/>
      <c r="P92" s="222"/>
      <c r="Q92" s="222"/>
      <c r="R92" s="222"/>
      <c r="S92" s="222"/>
      <c r="T92" s="222"/>
      <c r="U92" s="222"/>
      <c r="V92" s="222"/>
      <c r="W92" s="222"/>
      <c r="X92" s="222"/>
      <c r="Y92" s="221"/>
      <c r="Z92" s="221"/>
      <c r="AA92" s="221"/>
      <c r="AB92" s="276"/>
      <c r="AC92" s="276"/>
      <c r="AD92" s="276"/>
      <c r="AE92" s="276"/>
      <c r="AF92" s="276"/>
      <c r="AG92" s="276"/>
      <c r="AH92" s="276"/>
      <c r="AI92" s="276"/>
      <c r="AJ92" s="276"/>
    </row>
    <row r="93" spans="1:36" s="216" customFormat="1">
      <c r="A93" s="276"/>
      <c r="B93" s="276"/>
      <c r="C93" s="276"/>
      <c r="D93" s="276"/>
      <c r="E93" s="276"/>
      <c r="F93" s="276"/>
      <c r="G93" s="276"/>
      <c r="H93" s="276"/>
      <c r="I93" s="222"/>
      <c r="J93" s="222"/>
      <c r="K93" s="222"/>
      <c r="L93" s="222"/>
      <c r="M93" s="222"/>
      <c r="N93" s="222"/>
      <c r="O93" s="222"/>
      <c r="P93" s="222"/>
      <c r="Q93" s="222"/>
      <c r="R93" s="222"/>
      <c r="S93" s="222"/>
      <c r="T93" s="222"/>
      <c r="U93" s="222"/>
      <c r="V93" s="222"/>
      <c r="W93" s="222"/>
      <c r="X93" s="222"/>
      <c r="Y93" s="221"/>
      <c r="Z93" s="221"/>
      <c r="AA93" s="221"/>
      <c r="AB93" s="276"/>
      <c r="AC93" s="276"/>
      <c r="AD93" s="276"/>
      <c r="AE93" s="276"/>
      <c r="AF93" s="276"/>
      <c r="AG93" s="276"/>
      <c r="AH93" s="276"/>
      <c r="AI93" s="276"/>
      <c r="AJ93" s="276"/>
    </row>
    <row r="94" spans="1:36" s="216" customFormat="1">
      <c r="A94" s="276"/>
      <c r="B94" s="276"/>
      <c r="C94" s="276"/>
      <c r="D94" s="276"/>
      <c r="E94" s="276"/>
      <c r="F94" s="276"/>
      <c r="G94" s="276"/>
      <c r="H94" s="276"/>
      <c r="I94" s="222"/>
      <c r="J94" s="222"/>
      <c r="K94" s="222"/>
      <c r="L94" s="222"/>
      <c r="M94" s="222"/>
      <c r="N94" s="222"/>
      <c r="O94" s="222"/>
      <c r="P94" s="222"/>
      <c r="Q94" s="222"/>
      <c r="R94" s="222"/>
      <c r="S94" s="222"/>
      <c r="T94" s="222"/>
      <c r="U94" s="222"/>
      <c r="V94" s="222"/>
      <c r="W94" s="222"/>
      <c r="X94" s="222"/>
      <c r="Y94" s="221"/>
      <c r="Z94" s="221"/>
      <c r="AA94" s="221"/>
      <c r="AB94" s="276"/>
      <c r="AC94" s="276"/>
      <c r="AD94" s="276"/>
      <c r="AE94" s="276"/>
      <c r="AF94" s="276"/>
      <c r="AG94" s="276"/>
      <c r="AH94" s="276"/>
      <c r="AI94" s="276"/>
      <c r="AJ94" s="276"/>
    </row>
    <row r="95" spans="1:36" s="216" customFormat="1">
      <c r="A95" s="276"/>
      <c r="B95" s="276"/>
      <c r="C95" s="276"/>
      <c r="D95" s="276"/>
      <c r="E95" s="276"/>
      <c r="F95" s="276"/>
      <c r="G95" s="276"/>
      <c r="H95" s="276"/>
      <c r="I95" s="222"/>
      <c r="J95" s="222"/>
      <c r="K95" s="222"/>
      <c r="L95" s="222"/>
      <c r="M95" s="222"/>
      <c r="N95" s="222"/>
      <c r="O95" s="222"/>
      <c r="P95" s="222"/>
      <c r="Q95" s="222"/>
      <c r="R95" s="222"/>
      <c r="S95" s="222"/>
      <c r="T95" s="222"/>
      <c r="U95" s="222"/>
      <c r="V95" s="222"/>
      <c r="W95" s="222"/>
      <c r="X95" s="222"/>
      <c r="Y95" s="221"/>
      <c r="Z95" s="221"/>
      <c r="AA95" s="221"/>
      <c r="AB95" s="276"/>
      <c r="AC95" s="276"/>
      <c r="AD95" s="276"/>
      <c r="AE95" s="276"/>
      <c r="AF95" s="276"/>
      <c r="AG95" s="276"/>
      <c r="AH95" s="276"/>
      <c r="AI95" s="276"/>
      <c r="AJ95" s="276"/>
    </row>
    <row r="96" spans="1:36" s="216" customFormat="1">
      <c r="A96" s="276"/>
      <c r="B96" s="276"/>
      <c r="C96" s="276"/>
      <c r="D96" s="276"/>
      <c r="E96" s="276"/>
      <c r="F96" s="276"/>
      <c r="G96" s="276"/>
      <c r="H96" s="276"/>
      <c r="I96" s="222"/>
      <c r="J96" s="222"/>
      <c r="K96" s="222"/>
      <c r="L96" s="222"/>
      <c r="M96" s="222"/>
      <c r="N96" s="222"/>
      <c r="O96" s="222"/>
      <c r="P96" s="222"/>
      <c r="Q96" s="222"/>
      <c r="R96" s="222"/>
      <c r="S96" s="222"/>
      <c r="T96" s="222"/>
      <c r="U96" s="222"/>
      <c r="V96" s="222"/>
      <c r="W96" s="222"/>
      <c r="X96" s="222"/>
      <c r="Y96" s="221"/>
      <c r="Z96" s="221"/>
      <c r="AA96" s="221"/>
      <c r="AB96" s="276"/>
      <c r="AC96" s="276"/>
      <c r="AD96" s="276"/>
      <c r="AE96" s="276"/>
      <c r="AF96" s="276"/>
      <c r="AG96" s="276"/>
      <c r="AH96" s="276"/>
      <c r="AI96" s="276"/>
      <c r="AJ96" s="276"/>
    </row>
    <row r="97" spans="1:36" s="216" customFormat="1">
      <c r="A97" s="276"/>
      <c r="B97" s="276"/>
      <c r="C97" s="276"/>
      <c r="D97" s="276"/>
      <c r="E97" s="276"/>
      <c r="F97" s="276"/>
      <c r="G97" s="276"/>
      <c r="H97" s="276"/>
      <c r="I97" s="222"/>
      <c r="J97" s="222"/>
      <c r="K97" s="222"/>
      <c r="L97" s="222"/>
      <c r="M97" s="222"/>
      <c r="N97" s="222"/>
      <c r="O97" s="222"/>
      <c r="P97" s="222"/>
      <c r="Q97" s="222"/>
      <c r="R97" s="222"/>
      <c r="S97" s="222"/>
      <c r="T97" s="222"/>
      <c r="U97" s="222"/>
      <c r="V97" s="222"/>
      <c r="W97" s="222"/>
      <c r="X97" s="222"/>
      <c r="Y97" s="221"/>
      <c r="Z97" s="221"/>
      <c r="AA97" s="221"/>
      <c r="AB97" s="276"/>
      <c r="AC97" s="276"/>
      <c r="AD97" s="276"/>
      <c r="AE97" s="276"/>
      <c r="AF97" s="276"/>
      <c r="AG97" s="276"/>
      <c r="AH97" s="276"/>
      <c r="AI97" s="276"/>
      <c r="AJ97" s="276"/>
    </row>
    <row r="98" spans="1:36" s="216" customFormat="1">
      <c r="A98" s="276"/>
      <c r="B98" s="276"/>
      <c r="C98" s="276"/>
      <c r="D98" s="276"/>
      <c r="E98" s="276"/>
      <c r="F98" s="276"/>
      <c r="G98" s="276"/>
      <c r="H98" s="276"/>
      <c r="I98" s="222"/>
      <c r="J98" s="222"/>
      <c r="K98" s="222"/>
      <c r="L98" s="222"/>
      <c r="M98" s="222"/>
      <c r="N98" s="222"/>
      <c r="O98" s="222"/>
      <c r="P98" s="222"/>
      <c r="Q98" s="222"/>
      <c r="R98" s="222"/>
      <c r="S98" s="222"/>
      <c r="T98" s="222"/>
      <c r="U98" s="222"/>
      <c r="V98" s="222"/>
      <c r="W98" s="222"/>
      <c r="X98" s="222"/>
      <c r="Y98" s="221"/>
      <c r="Z98" s="221"/>
      <c r="AA98" s="221"/>
      <c r="AB98" s="276"/>
      <c r="AC98" s="276"/>
      <c r="AD98" s="276"/>
      <c r="AE98" s="276"/>
      <c r="AF98" s="276"/>
      <c r="AG98" s="276"/>
      <c r="AH98" s="276"/>
      <c r="AI98" s="276"/>
      <c r="AJ98" s="276"/>
    </row>
    <row r="99" spans="1:36" s="216" customFormat="1">
      <c r="A99" s="276"/>
      <c r="B99" s="276"/>
      <c r="C99" s="276"/>
      <c r="D99" s="276"/>
      <c r="E99" s="276"/>
      <c r="F99" s="276"/>
      <c r="G99" s="276"/>
      <c r="H99" s="276"/>
      <c r="I99" s="222"/>
      <c r="J99" s="222"/>
      <c r="K99" s="222"/>
      <c r="L99" s="222"/>
      <c r="M99" s="222"/>
      <c r="N99" s="222"/>
      <c r="O99" s="222"/>
      <c r="P99" s="222"/>
      <c r="Q99" s="222"/>
      <c r="R99" s="222"/>
      <c r="S99" s="222"/>
      <c r="T99" s="222"/>
      <c r="U99" s="222"/>
      <c r="V99" s="222"/>
      <c r="W99" s="222"/>
      <c r="X99" s="222"/>
      <c r="Y99" s="276"/>
      <c r="Z99" s="276"/>
      <c r="AA99" s="276"/>
      <c r="AB99" s="276"/>
      <c r="AC99" s="276"/>
      <c r="AD99" s="276"/>
      <c r="AE99" s="276"/>
      <c r="AF99" s="276"/>
      <c r="AG99" s="276"/>
      <c r="AH99" s="276"/>
      <c r="AI99" s="276"/>
      <c r="AJ99" s="276"/>
    </row>
  </sheetData>
  <sheetProtection sheet="1" objects="1" scenarios="1"/>
  <mergeCells count="2">
    <mergeCell ref="L13:L15"/>
    <mergeCell ref="C33:G33"/>
  </mergeCells>
  <dataValidations count="3">
    <dataValidation type="decimal" operator="greaterThanOrEqual" allowBlank="1" showInputMessage="1" showErrorMessage="1" sqref="C15:C20" xr:uid="{00000000-0002-0000-0800-000000000000}">
      <formula1>0</formula1>
    </dataValidation>
    <dataValidation type="list" allowBlank="1" showInputMessage="1" showErrorMessage="1" sqref="B15:B20" xr:uid="{00000000-0002-0000-0800-000001000000}">
      <formula1>$U$13:$U$22</formula1>
    </dataValidation>
    <dataValidation type="list" allowBlank="1" showInputMessage="1" showErrorMessage="1" sqref="E15:E20" xr:uid="{00000000-0002-0000-0800-000002000000}">
      <formula1>$J$9:$J$11</formula1>
    </dataValidation>
  </dataValidations>
  <printOptions horizontalCentered="1"/>
  <pageMargins left="1" right="1" top="0.75" bottom="0.75" header="0.3" footer="0.3"/>
  <pageSetup scale="10"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Title Page</vt:lpstr>
      <vt:lpstr>Inputs</vt:lpstr>
      <vt:lpstr>Bulls</vt:lpstr>
      <vt:lpstr>Replacements</vt:lpstr>
      <vt:lpstr>Breeding Herd</vt:lpstr>
      <vt:lpstr>Pre-condition Calves</vt:lpstr>
      <vt:lpstr>Stocker</vt:lpstr>
      <vt:lpstr>Feedlot</vt:lpstr>
      <vt:lpstr>Fed Cull Cow</vt:lpstr>
      <vt:lpstr>System</vt:lpstr>
      <vt:lpstr>Feed</vt:lpstr>
      <vt:lpstr>HerdSize</vt:lpstr>
      <vt:lpstr>Overhead</vt:lpstr>
      <vt:lpstr>'Breeding Herd'!Print_Area</vt:lpstr>
      <vt:lpstr>Bulls!Print_Area</vt:lpstr>
      <vt:lpstr>'Fed Cull Cow'!Print_Area</vt:lpstr>
      <vt:lpstr>Feedlot!Print_Area</vt:lpstr>
      <vt:lpstr>Inputs!Print_Area</vt:lpstr>
      <vt:lpstr>'Pre-condition Calves'!Print_Area</vt:lpstr>
      <vt:lpstr>Replacements!Print_Area</vt:lpstr>
      <vt:lpstr>Stocker!Print_Area</vt:lpstr>
      <vt:lpstr>System!Print_Area</vt:lpstr>
      <vt:lpstr>'Title Page'!Print_Area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Glennis McClure</cp:lastModifiedBy>
  <cp:lastPrinted>2021-10-08T21:36:51Z</cp:lastPrinted>
  <dcterms:created xsi:type="dcterms:W3CDTF">2009-03-11T18:48:46Z</dcterms:created>
  <dcterms:modified xsi:type="dcterms:W3CDTF">2021-10-28T14:56:56Z</dcterms:modified>
</cp:coreProperties>
</file>